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8195" windowHeight="12075" tabRatio="953" firstSheet="7" activeTab="14"/>
  </bookViews>
  <sheets>
    <sheet name="Приложение №1" sheetId="1" r:id="rId1"/>
    <sheet name="Приложение №1.1" sheetId="2" r:id="rId2"/>
    <sheet name="Приложение №2" sheetId="3" r:id="rId3"/>
    <sheet name="Приложение №2.1" sheetId="4" r:id="rId4"/>
    <sheet name="Приложение №3" sheetId="5" r:id="rId5"/>
    <sheet name="Приложение №3.1" sheetId="6" r:id="rId6"/>
    <sheet name="Приложение №3.2" sheetId="7" r:id="rId7"/>
    <sheet name="Приложение №4" sheetId="8" r:id="rId8"/>
    <sheet name="Приложение №4.1" sheetId="9" r:id="rId9"/>
    <sheet name="Приложение №5 " sheetId="10" r:id="rId10"/>
    <sheet name="Приложение №6" sheetId="11" r:id="rId11"/>
    <sheet name="Приложение №7" sheetId="12" r:id="rId12"/>
    <sheet name="Приложение №8" sheetId="13" r:id="rId13"/>
    <sheet name="Приложение №10" sheetId="14" r:id="rId14"/>
    <sheet name="Приложение №10.1" sheetId="15" r:id="rId15"/>
  </sheets>
  <definedNames>
    <definedName name="_xlnm.Print_Titles" localSheetId="0">'Приложение №1'!$13:$14</definedName>
    <definedName name="_xlnm.Print_Titles" localSheetId="1">'Приложение №1.1'!$12:$13</definedName>
    <definedName name="_xlnm.Print_Titles" localSheetId="2">'Приложение №2'!$9:$9</definedName>
    <definedName name="_xlnm.Print_Titles" localSheetId="3">'Приложение №2.1'!$9:$9</definedName>
    <definedName name="_xlnm.Print_Titles" localSheetId="7">'Приложение №4'!$11:$11</definedName>
    <definedName name="_xlnm.Print_Titles" localSheetId="8">'Приложение №4.1'!$11:$11</definedName>
    <definedName name="_xlnm.Print_Titles" localSheetId="10">'Приложение №6'!$9:$9</definedName>
  </definedNames>
  <calcPr fullCalcOnLoad="1"/>
</workbook>
</file>

<file path=xl/sharedStrings.xml><?xml version="1.0" encoding="utf-8"?>
<sst xmlns="http://schemas.openxmlformats.org/spreadsheetml/2006/main" count="6874" uniqueCount="1068">
  <si>
    <t>ИТОГО РАСХОДОВ: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</si>
  <si>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</si>
  <si>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</si>
  <si>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</si>
  <si>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</si>
  <si>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Периодическая печать  и издательства</t>
  </si>
  <si>
    <t>1202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</si>
  <si>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</si>
  <si>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</si>
  <si>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</si>
  <si>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</si>
  <si>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Массовый спорт</t>
  </si>
  <si>
    <t>1102</t>
  </si>
  <si>
    <t>Физическая культура</t>
  </si>
  <si>
    <t>1101</t>
  </si>
  <si>
    <t>ФИЗИЧЕСКАЯ КУЛЬТУРА 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</si>
  <si>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</si>
  <si>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</si>
  <si>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</si>
  <si>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</si>
  <si>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</si>
  <si>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</si>
  <si>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</si>
  <si>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</si>
  <si>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</si>
  <si>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</si>
  <si>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</si>
  <si>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</si>
  <si>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</si>
  <si>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ЗДРАВООХРАНЕНИЕ</t>
  </si>
  <si>
    <t>0900</t>
  </si>
  <si>
    <t>Другие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</si>
  <si>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</si>
  <si>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</si>
  <si>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</si>
  <si>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</si>
  <si>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</si>
  <si>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</si>
  <si>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</si>
  <si>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</si>
  <si>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</si>
  <si>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</si>
  <si>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</si>
  <si>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</si>
  <si>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</si>
  <si>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</si>
  <si>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</si>
  <si>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 xml:space="preserve">Сбор,  удаление отходов и очистка сточных вод </t>
  </si>
  <si>
    <t>0602</t>
  </si>
  <si>
    <t>ОХРАНА ОКРУЖАЮЩЕЙ СРЕДЫ</t>
  </si>
  <si>
    <t>0600</t>
  </si>
  <si>
    <t>Другие вопросы 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</si>
  <si>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</si>
  <si>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</si>
  <si>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</si>
  <si>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</si>
  <si>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</si>
  <si>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</si>
  <si>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</si>
  <si>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</si>
  <si>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</si>
  <si>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</si>
  <si>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</si>
  <si>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</si>
  <si>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0409</t>
  </si>
  <si>
    <t>Транспорт</t>
  </si>
  <si>
    <t>0408</t>
  </si>
  <si>
    <t>Лесное хозяйство</t>
  </si>
  <si>
    <t>0407</t>
  </si>
  <si>
    <t>Сельское хозяйство и рыболовство</t>
  </si>
  <si>
    <t>0405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</si>
  <si>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</si>
  <si>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</si>
  <si>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</si>
  <si>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</si>
  <si>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</si>
  <si>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</si>
  <si>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 xml:space="preserve">НАЦИОНАЛЬНАЯ БЕЗОПАСНОСТЬ И ПРАВООХРАНИТЕЛЬНАЯ ДЕЯТЕЛЬНОСТЬ </t>
  </si>
  <si>
    <t>0300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</si>
  <si>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</si>
  <si>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</si>
  <si>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</si>
  <si>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</si>
  <si>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</si>
  <si>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</si>
  <si>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</si>
  <si>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</si>
  <si>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</si>
  <si>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</si>
  <si>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</si>
  <si>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</si>
  <si>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</si>
  <si>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</si>
  <si>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</si>
  <si>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</si>
  <si>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 xml:space="preserve">Плановые назначения на  2013 год </t>
  </si>
  <si>
    <t xml:space="preserve">Наименование разделов и подразделов </t>
  </si>
  <si>
    <t>Код</t>
  </si>
  <si>
    <t>тыс.руб.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</si>
  <si>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2013 ГОД</t>
    </r>
  </si>
  <si>
    <t>от 28.03.2013 года № 71/23</t>
  </si>
  <si>
    <t>к решению Белогорского                   городского Совета народных                 депутатов</t>
  </si>
  <si>
    <t>Приложение № 2</t>
  </si>
  <si>
    <t>622</t>
  </si>
  <si>
    <t>795 16 01</t>
  </si>
  <si>
    <t>013</t>
  </si>
  <si>
    <t>Субсидии автономным учреждениям на иные цели</t>
  </si>
  <si>
    <t>Подпрограмма "Развитие массового спорта для  взрослого населения на территории города Белогорск на 2012-2014 годы"</t>
  </si>
  <si>
    <t>795 16 00</t>
  </si>
  <si>
    <t>ГЦП "Развитие  физической культуры и спорта на территории  города Белогорск на 2012-2014 годы"</t>
  </si>
  <si>
    <t>795 00 00</t>
  </si>
  <si>
    <t>Целевые программы муниципальных образований</t>
  </si>
  <si>
    <t xml:space="preserve">Физическая культура </t>
  </si>
  <si>
    <t>Физическая культура и спорт</t>
  </si>
  <si>
    <t>852</t>
  </si>
  <si>
    <t>452 99 00</t>
  </si>
  <si>
    <t>Уплата прочих налогов, сборов и иных обязательных платежей</t>
  </si>
  <si>
    <t>244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</si>
  <si>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</si>
  <si>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</si>
  <si>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</si>
  <si>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</si>
  <si>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персоналу, за исключением фонда оплаты труда</t>
  </si>
  <si>
    <t>111</t>
  </si>
  <si>
    <t>Фонд оплаты труда и страховые взносы</t>
  </si>
  <si>
    <t>Обеспечение деятельности (оказание услуг)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</si>
  <si>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</si>
  <si>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002 04 00</t>
  </si>
  <si>
    <t>851</t>
  </si>
  <si>
    <t>Уплата налога на имущество организаций и земельного налога</t>
  </si>
  <si>
    <t>122</t>
  </si>
  <si>
    <t>121</t>
  </si>
  <si>
    <t xml:space="preserve">Центральный аппарат </t>
  </si>
  <si>
    <t>002 00 00</t>
  </si>
  <si>
    <t>Руководство и управление в сфере установленных функций органов  местного самоуправления</t>
  </si>
  <si>
    <t>795 12 00</t>
  </si>
  <si>
    <t>ГЦП "Энергосбережение и повышение энергетической эффективности на территории муниципального образования г. Белогорск на 2010-2020 годы"</t>
  </si>
  <si>
    <t>800 20 00</t>
  </si>
  <si>
    <t>612</t>
  </si>
  <si>
    <t>Субсидии бюджетным учреждениям на иные цели</t>
  </si>
  <si>
    <t>Кредиторская задолженность за 2012 год по ГЦП "Развитие и сохранение культуры и искусства г.Белогорска на 2012-2015 годы"</t>
  </si>
  <si>
    <t>795 20 00</t>
  </si>
  <si>
    <t>ГЦП "Развитие и сохранение культуры и искусства г.Белогорска на 2012-2015 годы"</t>
  </si>
  <si>
    <t>788 00 00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</si>
  <si>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</si>
  <si>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</si>
  <si>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/>
  </si>
  <si>
    <t>Реализация Указов Президента Российской Федерации от 07.05.2012 № 597 "О мероприятиях по реализации государственной социальной политики" и  от 01.06.2012 № 761"О Национальной стратегии действий в интересах детей на 2012-2017 годы"</t>
  </si>
  <si>
    <t>442 99 01</t>
  </si>
  <si>
    <t>Кредиторская задолженность за 2012 год подведомственных учреждений</t>
  </si>
  <si>
    <t>442 99 00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</si>
  <si>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</si>
  <si>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442 00 00</t>
  </si>
  <si>
    <t>Библиотеки</t>
  </si>
  <si>
    <t>441 99 01</t>
  </si>
  <si>
    <t>441 99 00</t>
  </si>
  <si>
    <t>441 00 00</t>
  </si>
  <si>
    <t>Музеи и постоянные выставки</t>
  </si>
  <si>
    <t>440 99 01</t>
  </si>
  <si>
    <t>621</t>
  </si>
  <si>
    <t>440 99 00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</si>
  <si>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</si>
  <si>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440 02 00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</si>
  <si>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</si>
  <si>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440 00 00</t>
  </si>
  <si>
    <t>Учреждения культуры и мероприятия в сфере культуры и кинематографии</t>
  </si>
  <si>
    <t>Культура</t>
  </si>
  <si>
    <t>Культура, кинематография</t>
  </si>
  <si>
    <t>423 99 01</t>
  </si>
  <si>
    <t>423 99 00</t>
  </si>
  <si>
    <t>423 00 00</t>
  </si>
  <si>
    <t>Учреждения по внешкольной работе с детьми</t>
  </si>
  <si>
    <t>Образование</t>
  </si>
  <si>
    <t>800 01 00</t>
  </si>
  <si>
    <t>Кредиторская задолженность за 2012 год по ГЦП "Создание условий для развития малого и среднего бизнеса в г. Белогорске на 2011-2015 годы"</t>
  </si>
  <si>
    <t>Национальная экономика</t>
  </si>
  <si>
    <t>Муниципальное казенное учреждение "Управление культуры Администрации г.Белогорск"</t>
  </si>
  <si>
    <t>800 16 02</t>
  </si>
  <si>
    <t>012</t>
  </si>
  <si>
    <t>Кредиторская задолженность за 2012 год по подпрограмме  "Развитие детско-юношеского спорта на территории города Белогорск на 2012-2014 годы"</t>
  </si>
  <si>
    <t>800 16 01</t>
  </si>
  <si>
    <t>Кредиторская задолженность за 2012 год по подпрограмме  "Развитие массового спорта для  взрослого населения на территории города Белогорск на 2012-2014 годы"</t>
  </si>
  <si>
    <t>800 16 00</t>
  </si>
  <si>
    <t>Кредиторская задолженность за 2012 год по ГЦП "Развитие  физической культуры и спорта на территории  города Белогорск на 2012-2014 годы"</t>
  </si>
  <si>
    <t>800 00 00</t>
  </si>
  <si>
    <t>Кредиторская задолженность за 2012 год по целевым программам муниципального образования</t>
  </si>
  <si>
    <t>795 16  02</t>
  </si>
  <si>
    <t>795 16 02</t>
  </si>
  <si>
    <t>Подпрограмма "Развитие детско-юношеского спорта на территории города Белогорск на 2012-2014 годы"</t>
  </si>
  <si>
    <t>313</t>
  </si>
  <si>
    <t>522 12 00</t>
  </si>
  <si>
    <t>Пособия и компенсации по публичным нормативным обязательствам</t>
  </si>
  <si>
    <t>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</si>
  <si>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522 06 00</t>
  </si>
  <si>
    <t xml:space="preserve"> Дополнительные гарантии по социальной поддержке детей -сирот и детей, оставшихся без попечения родителей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</si>
  <si>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</si>
  <si>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</si>
  <si>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520 13 02</t>
  </si>
  <si>
    <t>Содержание ребенка в семье опекуна и приемной семье, а также вознаграждение, причитающееся приемному родителю</t>
  </si>
  <si>
    <t>321</t>
  </si>
  <si>
    <t>520 10 00</t>
  </si>
  <si>
    <t>Пособия и компенсации гражданам и иные социальные выплаты, кроме публичных нормативных обязательств</t>
  </si>
  <si>
    <t xml:space="preserve">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 </t>
  </si>
  <si>
    <t>520 00 00</t>
  </si>
  <si>
    <t>Иные безвозмездные и безвозвратные перечисления</t>
  </si>
  <si>
    <t>795 15 00</t>
  </si>
  <si>
    <t xml:space="preserve">ГЦП "Меры адресной поддержки  отдельных категорий граждан  г.Белогорска  на 2009 - 2015 годы" </t>
  </si>
  <si>
    <t>795 00  00</t>
  </si>
  <si>
    <t>Социальная политика</t>
  </si>
  <si>
    <t>522 09 02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</si>
  <si>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</si>
  <si>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</si>
  <si>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</si>
  <si>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</si>
  <si>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Здравоохранение</t>
  </si>
  <si>
    <t>800 19 11</t>
  </si>
  <si>
    <t>Кредиторская задолженность за 2012 год по подпрограмме  "Ремонт зданий образовательных учреждений, сооружений, благоустройство прилегающей территории"</t>
  </si>
  <si>
    <t>800 19 10</t>
  </si>
  <si>
    <t>Кредиторская задолженность за 2012 год по подпрограмме  "Развитие сети образовательных учреждений"</t>
  </si>
  <si>
    <t>800 19 09</t>
  </si>
  <si>
    <t>Кредиторская задолженность за 2012 год по подпрограмме  "Обеспечение безопасности образовательных учреждений"</t>
  </si>
  <si>
    <t>800 19 05</t>
  </si>
  <si>
    <t>Кредиторская задолженность за 2012 год по подпрограмме "Патриотическое воспитание жителей города Белогорска"</t>
  </si>
  <si>
    <t>800 19 04</t>
  </si>
  <si>
    <t>Кредиторская задолженность за 2012 год по подпрограмме "Одаренные дети"</t>
  </si>
  <si>
    <t>800 19 03</t>
  </si>
  <si>
    <t>Кредиторская задолженность за 2012 год по подпрограмме "Совершенствование организации питания в образовательных учреждениях"</t>
  </si>
  <si>
    <t>800 19 02</t>
  </si>
  <si>
    <t>Кредиторская задолженность за 2012 год по подпрограмме "Развитие  дошкольного образования"</t>
  </si>
  <si>
    <t>800 19 01</t>
  </si>
  <si>
    <t>Кредиторская задолженность за 2012 год по подпрограмме  "Развитие инновационной образовательной деятельности"</t>
  </si>
  <si>
    <t>800 19 00</t>
  </si>
  <si>
    <t>Кредиторская задолженность за 2012 год по  ГЦП "Развитие образования г. Белогорск на 2011-2015 годы"</t>
  </si>
  <si>
    <t>800 04 00</t>
  </si>
  <si>
    <t>Кредиторская задолженность за 2012 год по  ГЦП "Профилактика терроризма и экстремизма на территории муниципального образования г.Белогорск на 2012-2013 годы"</t>
  </si>
  <si>
    <t>ГЦП "Энергосбережение и повышение энергетической эффективности на территории  муниципального образования г.Белогорск на 2010-2020 годы"</t>
  </si>
  <si>
    <t>795 04 00</t>
  </si>
  <si>
    <t>ГЦП "Профилактика терроризма и экстремизма на территории муниципального образования г.Белогорск на 2012-2013 годы"</t>
  </si>
  <si>
    <t>795 19 11</t>
  </si>
  <si>
    <t>Подпрограмма "Ремонт зданий образовательных учреждений, сооружений, благоустройство прилегающей территории"</t>
  </si>
  <si>
    <t>795 19 10</t>
  </si>
  <si>
    <t>Подпрограмма "Развитие сети образовательных учреждений"</t>
  </si>
  <si>
    <t>795 19 09</t>
  </si>
  <si>
    <t>Подпрограмма "Обеспечение безопасности образовательных учреждений"</t>
  </si>
  <si>
    <t>795 19 08</t>
  </si>
  <si>
    <t>Подпрограмма "Лицензирование образовательных учреждений"</t>
  </si>
  <si>
    <t>795 19 07</t>
  </si>
  <si>
    <t>Подпрограмма "Развитие  образования детей -инвалидов"</t>
  </si>
  <si>
    <t>795 19 06</t>
  </si>
  <si>
    <t>323</t>
  </si>
  <si>
    <t>Приобретение товаров, работ, услуг в пользу граждан</t>
  </si>
  <si>
    <t>Подпрограмма "Организация летнего отдыха, оздоровления и занятости детей и подростков"</t>
  </si>
  <si>
    <t>795 19 05</t>
  </si>
  <si>
    <t>Подпрограмма "Патриотическое воспитание жителей города Белогорска"</t>
  </si>
  <si>
    <t>795 19 04</t>
  </si>
  <si>
    <t>Подпрограмма "Одаренные дети"</t>
  </si>
  <si>
    <t>795 19 03</t>
  </si>
  <si>
    <t>Подпрограмма "Совершенствование организации питания в образовательных учреждениях"</t>
  </si>
  <si>
    <t>795 19 02</t>
  </si>
  <si>
    <t>Подпрограмма "Развитие  дошкольного образования"</t>
  </si>
  <si>
    <t>795 19 01</t>
  </si>
  <si>
    <t>Подпрограмма "Развитие инновационной образовательной деятельности"</t>
  </si>
  <si>
    <t>в  том числе подпрограммы:</t>
  </si>
  <si>
    <t>795 19 00</t>
  </si>
  <si>
    <t>ГЦП "Развитие образования г. Белогорск на 2011-2015 годы"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</si>
  <si>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</si>
  <si>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</si>
  <si>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452 99 01</t>
  </si>
  <si>
    <t>452 99  00</t>
  </si>
  <si>
    <t>452 00  00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</si>
  <si>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</si>
  <si>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432 99 01</t>
  </si>
  <si>
    <t>432 99 00</t>
  </si>
  <si>
    <t>432 00 00</t>
  </si>
  <si>
    <t>Мероприятия по проведению оздоровительной кампании для детей</t>
  </si>
  <si>
    <t>431 01 00</t>
  </si>
  <si>
    <t xml:space="preserve">Проведение мероприятий для детей и молодежи </t>
  </si>
  <si>
    <t>Молодежная политика  и оздоровление детей</t>
  </si>
  <si>
    <t>520 50 00</t>
  </si>
  <si>
    <t>620</t>
  </si>
  <si>
    <t>Субсидии  автономным учреждениям</t>
  </si>
  <si>
    <t>610</t>
  </si>
  <si>
    <t>Субсидии бюджетным учреждениям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</si>
  <si>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</si>
  <si>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</si>
  <si>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</si>
  <si>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520 09 01</t>
  </si>
  <si>
    <t>520 09 00</t>
  </si>
  <si>
    <t xml:space="preserve">Ежемесячное денежное вознаграждение за классное руководство  </t>
  </si>
  <si>
    <t>421 99 01</t>
  </si>
  <si>
    <t>421 99 00</t>
  </si>
  <si>
    <t>421 00 00</t>
  </si>
  <si>
    <t>Школы-детские сады, школы начальные, неполные средние и средние</t>
  </si>
  <si>
    <t>070 05 00</t>
  </si>
  <si>
    <t>Резервные фонды местных администраций</t>
  </si>
  <si>
    <t>522 08 00</t>
  </si>
  <si>
    <t>Финансовое обеспечение расходов по воспитанию и обучению  детей-инвалидов в дошкольных образовательных учреждениях</t>
  </si>
  <si>
    <t>420 99 01</t>
  </si>
  <si>
    <t>420 99 00</t>
  </si>
  <si>
    <t>420 00 00</t>
  </si>
  <si>
    <t>Детские дошкольные учреждения</t>
  </si>
  <si>
    <t>Муниципальное казенное учреждение "Комитет по образованию и делам молодежи Администрации города Белогорск"</t>
  </si>
  <si>
    <t>292 02 00</t>
  </si>
  <si>
    <t>011</t>
  </si>
  <si>
    <t>Мероприятия в области охраны, восстановления и использования лесов</t>
  </si>
  <si>
    <t xml:space="preserve">Лесное хозяйство </t>
  </si>
  <si>
    <t>795 18 00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</si>
  <si>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</si>
  <si>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Целевые программы муниципальных образований, в том числе:</t>
  </si>
  <si>
    <t>302 99 00</t>
  </si>
  <si>
    <t>Поисковые и аварийно-спасательные учреждения</t>
  </si>
  <si>
    <t>870</t>
  </si>
  <si>
    <t>Резервные средства</t>
  </si>
  <si>
    <t>Национальная безопасность и правоохранительная деятельность</t>
  </si>
  <si>
    <t>Муниципальное казенное учреждение "Управление по делам  гражданской обороны и чрезвычайным ситуациям города Белогорск"</t>
  </si>
  <si>
    <t>010</t>
  </si>
  <si>
    <t>452 00 00</t>
  </si>
  <si>
    <t>Другие вопросы в области  физической культуры и спорта</t>
  </si>
  <si>
    <t>488 99 01</t>
  </si>
  <si>
    <t>488 99 00</t>
  </si>
  <si>
    <t>488 00 00</t>
  </si>
  <si>
    <t>Учреждения осуществляющие функции в области массового спорта, проведения спортивных мероприятий</t>
  </si>
  <si>
    <t>Подпрограмма "Развитие детско-юношеского спорта на территории г.Белогорск на 2012-2014 гг."</t>
  </si>
  <si>
    <t>Кредиторская задолженность за 2012 год по ГЦП ""Развитие  физической культуры и спорта на территории  города Белогорск на 2012-2014 годы"</t>
  </si>
  <si>
    <t>795 17  00</t>
  </si>
  <si>
    <t>795 17 00</t>
  </si>
  <si>
    <t>ГЦП "Социальное и экономическое развитие с.Низинное муниципального образования г.Белогорск на 2011-2013 годы"</t>
  </si>
  <si>
    <t>795 16  01</t>
  </si>
  <si>
    <t>Муниципальное казенное учреждение "Управление по физической культуре и спорту Администрации города Белогорск"</t>
  </si>
  <si>
    <t>720 05 00</t>
  </si>
  <si>
    <t>009</t>
  </si>
  <si>
    <t xml:space="preserve">Прочие мероприятия по благоустройству  городских округов </t>
  </si>
  <si>
    <t>720 00 00</t>
  </si>
  <si>
    <t xml:space="preserve">Мероприятия по благоустройству городских округов </t>
  </si>
  <si>
    <t>Жилищно-коммунальное хозяйство</t>
  </si>
  <si>
    <t>093 99 00</t>
  </si>
  <si>
    <t>093 00 00</t>
  </si>
  <si>
    <t>Учреждения по обеспечению хозяйственного обслуживания</t>
  </si>
  <si>
    <t>Общегосударственные вопросы</t>
  </si>
  <si>
    <t>Муниципальное казенное учреждение "Служба по обеспечению деятельности органов местного самоуправления" города Белогорск</t>
  </si>
  <si>
    <t>514 01 45</t>
  </si>
  <si>
    <t>007</t>
  </si>
  <si>
    <t>Кредиторская задолженность за 2012 год  на проведение отдельных мероприятий в области социальной политики</t>
  </si>
  <si>
    <t>514 01 44</t>
  </si>
  <si>
    <t>Реализация муниципальных функций в области социальной политики</t>
  </si>
  <si>
    <t>5243004</t>
  </si>
  <si>
    <t>Расходы на ремонт и обеспечение повышения степени  благоустройства  жилых домов  ветеранов ВОВ, включая  расходы на строительство  и подключение  систем  коммунальной инфраструктуры</t>
  </si>
  <si>
    <t>795 22 00</t>
  </si>
  <si>
    <t>ГЦП "Обеспечение беспрепятственного доступа инвалидов  к информации и объектам социальной инфраструктуры в г.Белогорск на 2013-2015 годы"</t>
  </si>
  <si>
    <t>810</t>
  </si>
  <si>
    <t>800 15 00</t>
  </si>
  <si>
    <t>Субсидии юридическим лицам (кроме муниципальных  учреждений) и физическим лицам-производителям товаров, работ, услуг</t>
  </si>
  <si>
    <t>Кредиторская задолженность по ГЦП "Меры адресной поддержки  отдельных категорий граждан  г.Белогорска  на 2009 - 2015 годы"</t>
  </si>
  <si>
    <t>Кредиторская задолженность  за 2012 год по целевым программам муниципального образования</t>
  </si>
  <si>
    <t>ГЦП "Меры адресной поддержки  отдельных категорий граждан  г.Белогорска  на 2009 - 2015 годы"</t>
  </si>
  <si>
    <t>400 01 00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</si>
  <si>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</si>
  <si>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</si>
  <si>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</si>
  <si>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</si>
  <si>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800 08 00</t>
  </si>
  <si>
    <t xml:space="preserve"> Кредиторская задолженность  за 2012 год по ГЦП "Реформирование и модернизация жилищно-коммунального комплекса г. Белогорск  на 2009-2015 годы"</t>
  </si>
  <si>
    <t>795 08 00</t>
  </si>
  <si>
    <t>ГЦП "Реформирование и модернизация жилищно-коммунального комплекса г. Белогорск  на 2009-2015 годы"</t>
  </si>
  <si>
    <t>831</t>
  </si>
  <si>
    <t>092 03 08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</si>
  <si>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</si>
  <si>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 xml:space="preserve"> Расходы на оплату исполнительных документов </t>
  </si>
  <si>
    <t>Другие вопросы в области жилищно-коммунального хозяйства</t>
  </si>
  <si>
    <t>800 14 00</t>
  </si>
  <si>
    <t xml:space="preserve">Кредиторкая задолженность за 2012 год  по ГЦП "Развитие наружного освещения города Белогорск  на 2011-2015 годы" </t>
  </si>
  <si>
    <t>795 14 00</t>
  </si>
  <si>
    <t xml:space="preserve">ГЦП "Развитие наружного освещения города Белогорск  на 2011-2015 годы" </t>
  </si>
  <si>
    <t>720 05 01</t>
  </si>
  <si>
    <t>Кредиторская задолженность за 2012 год по  прочим мероприятиям  по благоустройству  городских округов</t>
  </si>
  <si>
    <t>720 03 00</t>
  </si>
  <si>
    <t>Озеленение</t>
  </si>
  <si>
    <t>720 01 00</t>
  </si>
  <si>
    <t>Уличное освещение</t>
  </si>
  <si>
    <t>602 05 03</t>
  </si>
  <si>
    <t>Субсидии юридическим лицам (кроме муниципальных учреждений) и физическим лицам-производителям товаров, работ, услуг</t>
  </si>
  <si>
    <t>Расходы по организации коммунального хозяйства в части заготовки топлива</t>
  </si>
  <si>
    <t>522 15 00</t>
  </si>
  <si>
    <t xml:space="preserve">Компенсация выпадающих доходов  теплоснабжающих организаций,возникающих в результате установления льготных тарифов для населения </t>
  </si>
  <si>
    <t>351 05 00</t>
  </si>
  <si>
    <t>Субсидии на возмещение части затрат на откачку и вывоз жидких нечистот из неканализованного жилищного фонда</t>
  </si>
  <si>
    <t>Кредиторская задолженность  за 2012 год по ГЦП "Реформирование и модернизация жилищно-коммунального комплекса г. Белогорск  на 2009-2015 годы"</t>
  </si>
  <si>
    <t>796 02 00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</si>
  <si>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</si>
  <si>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796 00 00</t>
  </si>
  <si>
    <t>Адресные программы муниципальных образований, в том числе:</t>
  </si>
  <si>
    <t>795 10 00</t>
  </si>
  <si>
    <t>ГЦП "Переселение граждан из ветхого и аварийного жилищного фонда города Белогорска на 2009-2015 годы"</t>
  </si>
  <si>
    <t>360 03 00</t>
  </si>
  <si>
    <t>Мероприятия в области жилищно-коммунального  хозяйства</t>
  </si>
  <si>
    <t>360 00 00</t>
  </si>
  <si>
    <t>Поддержка жилищного хозяйства</t>
  </si>
  <si>
    <t>800 07 00</t>
  </si>
  <si>
    <t>Кредиторская задолженность  по ГЦП "Развитие дорожной сети г. Белогорска на 2009-2014 годы"</t>
  </si>
  <si>
    <t>795 21 00</t>
  </si>
  <si>
    <t>ГЦП "Обеспечение безопасности дорожного движения в городе Белогорске на 2013-2020 годы"</t>
  </si>
  <si>
    <t>795 07 00</t>
  </si>
  <si>
    <t>ГЦП "Развитие дорожной сети г. Белогорска на 2009-2017 годы"</t>
  </si>
  <si>
    <t>315 02 44</t>
  </si>
  <si>
    <t>Содержание автомобильных дорог</t>
  </si>
  <si>
    <t>Дорожное хозяйство (дорожные фонды)</t>
  </si>
  <si>
    <t>3170145</t>
  </si>
  <si>
    <t>317 01 45</t>
  </si>
  <si>
    <t>Кредиторская задолженность за 2012 год на проведение отдельных мероприятий по автомобильному транспорту</t>
  </si>
  <si>
    <t>317 01 44</t>
  </si>
  <si>
    <t>Субсидии на проведение отдельных мероприятий по автомобильному транспорту</t>
  </si>
  <si>
    <t>800 09 00</t>
  </si>
  <si>
    <t>Субсидии юридическим лицам (кроме муниципальных учреждений) и физическим лицам - производителям товаров, работ, услуг</t>
  </si>
  <si>
    <t>Кредиторская задолженность  за 2012 год  по ГЦП "Профилактика правонарушений  в  г. Белогорск на 2010 -2014 годы"</t>
  </si>
  <si>
    <t>Муниципальное казенное учреждение "Управление жилищно-коммунального хозяйства Администрации города Белогорск"</t>
  </si>
  <si>
    <t>002 25 00</t>
  </si>
  <si>
    <t>006</t>
  </si>
  <si>
    <t>Руководитель контрольно-счетной палаты муниципального образования и его заместители</t>
  </si>
  <si>
    <t>Контрольно-счетная палата  муниципального образования город Белогорск</t>
  </si>
  <si>
    <t>505 36 02</t>
  </si>
  <si>
    <t>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</si>
  <si>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</si>
  <si>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505 21 04</t>
  </si>
  <si>
    <t>Обеспечение  предоставления жилых помещений детям-сиротам и детям, оставшихся без попечения родителей, лицам  из числа  по договорам найма специализированных жилых помещений (за счет средств федерального бюджета)</t>
  </si>
  <si>
    <t>505 21 00</t>
  </si>
  <si>
    <t>Федеральный закон от 21 декабря 1996 года № 159-ФЗ "О дополнительных гарантиях по солциальной поддержке детей-сирот и детей,осташихся без попечения родителей"</t>
  </si>
  <si>
    <t>322</t>
  </si>
  <si>
    <t>795 11 00</t>
  </si>
  <si>
    <t>Субсидия гражданам на приобретение жилья</t>
  </si>
  <si>
    <t>ГЦП "Обеспечение жильем молодых семей г.Белогорска на 2009-2015 годы"</t>
  </si>
  <si>
    <t>090 03 00</t>
  </si>
  <si>
    <t>Оценка недвижимости, признание прав и регулирование отношений по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</si>
  <si>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</si>
  <si>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собственностью</t>
  </si>
  <si>
    <t>Муниципальное казенное учреждение "Комитет имущественных отношений Администрации города Белогорск"</t>
  </si>
  <si>
    <t>730</t>
  </si>
  <si>
    <t>065 03 00</t>
  </si>
  <si>
    <t>003</t>
  </si>
  <si>
    <t>Обслуживание муниципального долга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</si>
  <si>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</si>
  <si>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</si>
  <si>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</si>
  <si>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Обслуживание государственного внутреннего  и муниципального долга</t>
  </si>
  <si>
    <t>Муниципальное казенное учреждение "Финансовое управление Администрации города Белогорск"</t>
  </si>
  <si>
    <t>457 99 00</t>
  </si>
  <si>
    <t>002</t>
  </si>
  <si>
    <t xml:space="preserve">Обеспечение деятельности подведомственных учреждений </t>
  </si>
  <si>
    <t>457 00 00</t>
  </si>
  <si>
    <t>Периодические издания, учрежденные органами законодательной и исполнительной  власти</t>
  </si>
  <si>
    <t>Периодическая печать и издательства</t>
  </si>
  <si>
    <t xml:space="preserve"> Средства массовой информации</t>
  </si>
  <si>
    <t>411</t>
  </si>
  <si>
    <t>Бюджетные инвестиции в объекты муниципальной собственности казенным учреждениям</t>
  </si>
  <si>
    <t>ГЦП "Меры адресной поддержки отдельных категорий граждан г. Белогорска на 2009-2015 годы"</t>
  </si>
  <si>
    <t>490 06 00</t>
  </si>
  <si>
    <t>Пенсии за выслугу лет  муниципальной  службе</t>
  </si>
  <si>
    <t>490 00 00</t>
  </si>
  <si>
    <t>Пенсии</t>
  </si>
  <si>
    <t>Кредиторская задолженность за 2012 год по ГЦП "Развитие  образования  города Белогорска на 2011-2015 годы"</t>
  </si>
  <si>
    <t xml:space="preserve"> ГЦП "Развитие  образования  города Белогорска на 2011-2015 годы"</t>
  </si>
  <si>
    <t>522 07 00</t>
  </si>
  <si>
    <t>Организация деятельности  комиссий по делам несовершеннолетних и защите их прав</t>
  </si>
  <si>
    <t>801 03 00</t>
  </si>
  <si>
    <t xml:space="preserve">Кредиторская задолженность за 2012 год  по Городской адресной программе " Переселение граждан из аварийного жилищного фонда с учетом необходимости развития малоэтажного жилищного строительства в 2012 году" 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</si>
  <si>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</si>
  <si>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</si>
  <si>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</si>
  <si>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</si>
  <si>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795 01 00</t>
  </si>
  <si>
    <t>ГЦП "Создание условий для развития малого и среднего бизнеса в г. Белогорске на 2011-2015 годы"</t>
  </si>
  <si>
    <t>608 01 16</t>
  </si>
  <si>
    <t>Поддержка и развитие субъектов малого и среднего предпринимательства муниципальных образований, отнесенных к монопрофильным</t>
  </si>
  <si>
    <t>608 01 00</t>
  </si>
  <si>
    <t>Подпрограмма "Развитие субъектов малого и среднего предпринимательства в Амурской области на 2012-2013 годы" ДЦП "Экономическое развитие и инновационная экономика Амурской области на 2012-2013 годы"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</si>
  <si>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</si>
  <si>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</si>
  <si>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</si>
  <si>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</si>
  <si>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338 99 00</t>
  </si>
  <si>
    <t>338 00 00</t>
  </si>
  <si>
    <t>Мероприятия в области строительства, архитектуры и градостроительства</t>
  </si>
  <si>
    <t>Кредиторская задолженность за 2012 год по ГЦП  "Развитие дорожной сети г.Белогорска на 2009-2017 годы"</t>
  </si>
  <si>
    <t>ГЦП "Развитие дорожной сети г.Белогорска на 2009-2017 годы"</t>
  </si>
  <si>
    <t>795 02 00</t>
  </si>
  <si>
    <t>ГЦП "Развитие агропромышленного комплекса муниципального образования г. Белогорск на 2013-2015 годы"</t>
  </si>
  <si>
    <t>800 03 00</t>
  </si>
  <si>
    <t>Кредиторская задолженность за 2012 год по ГЦП  "Противодействие злоупотреблению наркотическими средствами и их незаконному обороту на 2010-2014 годы"</t>
  </si>
  <si>
    <t>795 03 00</t>
  </si>
  <si>
    <t>ГЦП "Противодействие злоупотреблению наркотическими средствами и их незаконному обороту на 2010-2014 годы"</t>
  </si>
  <si>
    <t>800 05 00</t>
  </si>
  <si>
    <t>Кредиторская задолженность за 2012 год по ГЦП 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</si>
  <si>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</si>
  <si>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</si>
  <si>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</si>
  <si>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</si>
  <si>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</si>
  <si>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труда на территориях  муниципальных образований</t>
  </si>
  <si>
    <t>102 11 00</t>
  </si>
  <si>
    <t xml:space="preserve">Строительство и капитальный ремонт жилья, инфраструктуры муниципальной собственности
</t>
  </si>
  <si>
    <t>102 00 00</t>
  </si>
  <si>
    <t>Бюджетные инвестиции в объекты капитального строительства, не включенные в целевые программы</t>
  </si>
  <si>
    <t>092 99 01</t>
  </si>
  <si>
    <t>092 99 00</t>
  </si>
  <si>
    <t>092 00 00</t>
  </si>
  <si>
    <t>Реализация государственных функций, связанных с общегосударственным управлением</t>
  </si>
  <si>
    <t>070 00 00</t>
  </si>
  <si>
    <t>880</t>
  </si>
  <si>
    <t>020 08 00</t>
  </si>
  <si>
    <t>Специальные расходы</t>
  </si>
  <si>
    <t>Проведение выборов депутатов Совета народных депутатов Белогорского городского самоуправления</t>
  </si>
  <si>
    <t>020 00 00</t>
  </si>
  <si>
    <t>Проведение выборов и референдумов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</si>
  <si>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</si>
  <si>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</si>
  <si>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</si>
  <si>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</si>
  <si>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</si>
  <si>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001</t>
  </si>
  <si>
    <t>Председатель представительного органа муниципального образования</t>
  </si>
  <si>
    <t>Совет народных депутатов Белогорского городского самоуправления</t>
  </si>
  <si>
    <t xml:space="preserve">Плановые назначения на 2013 год </t>
  </si>
  <si>
    <t>ВР</t>
  </si>
  <si>
    <t>ЦСР</t>
  </si>
  <si>
    <t>ПР</t>
  </si>
  <si>
    <t>Раз</t>
  </si>
  <si>
    <t>Код главы</t>
  </si>
  <si>
    <t>Наименование</t>
  </si>
  <si>
    <t>Ведомственная структура бюджета на 2013 год</t>
  </si>
  <si>
    <t>от 28 марта 2013 года №  71/23
__________2010 г. № ____</t>
  </si>
  <si>
    <t>к решению Белогорского городского Совета народных депутатов</t>
  </si>
  <si>
    <t>Приложение № 4</t>
  </si>
  <si>
    <t>Условно утвержденные расходы</t>
  </si>
  <si>
    <t>0000</t>
  </si>
  <si>
    <t xml:space="preserve">Плановые назначения на  2015год </t>
  </si>
  <si>
    <t xml:space="preserve">Плановые назначения на  2014год 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</si>
  <si>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 ПЛАНОВЫЙ ПЕРИОД 2014 и 2015  ГОДОВ</t>
    </r>
  </si>
  <si>
    <t>от 28 марта 2013 года № 71/23</t>
  </si>
  <si>
    <t>к решению Белогорского городского  Совета народных  депутатов</t>
  </si>
  <si>
    <t>Приложение № 2.1</t>
  </si>
  <si>
    <t>Итого  расходов:</t>
  </si>
  <si>
    <t>Подпрограмма "Развитие детско-юношеского спорта на территории города Белогорска на 2012-2014 годы"</t>
  </si>
  <si>
    <t>ГЦП "Развитие физической культуры и спорта на территории города Белогорска на 2012-2014 годы"</t>
  </si>
  <si>
    <t>ГЦП "Меры адресной поддержки отдельных категорий граждан г. Белогорска  на 2009 - 2015 годы"</t>
  </si>
  <si>
    <t>Выполнение функций органами местного самоуправления</t>
  </si>
  <si>
    <t>795 09 00</t>
  </si>
  <si>
    <t>ГЦП "Профилактика правонарушений в г. Белогорск на  2013-2015 годы"</t>
  </si>
  <si>
    <t>302 00 00</t>
  </si>
  <si>
    <t>Подпрограмма "Развитие массового спорта для  взрослого населения на территории города Белогорска на 2012-2014 годы"</t>
  </si>
  <si>
    <t>ГЦП "Обеспечение беспрепятственного доступа инвалидов к информации и объектам социальной инфраструктуры в г.Белогорск на 2013-2015 годы"</t>
  </si>
  <si>
    <t>795 13 00</t>
  </si>
  <si>
    <t>ГЦП "Чистая вода на 2009-2017 годы"</t>
  </si>
  <si>
    <t>ГЦП "Реформирование и модернизация жилищно-коммунального комплекса г. Белогорск на 2009-2015 годы"</t>
  </si>
  <si>
    <t>720 04 00</t>
  </si>
  <si>
    <t>Организация и содержание мест захоронения</t>
  </si>
  <si>
    <t>ГЦП "Профилактика правонарушений  в  г. Белогорск на 2013 -2015 годы"</t>
  </si>
  <si>
    <t>000</t>
  </si>
  <si>
    <t>999 00 00</t>
  </si>
  <si>
    <t>00</t>
  </si>
  <si>
    <t>ГЦП "Развитие  физической культуры и спорта на территории  города Белогорска на 2012-2014 годы"</t>
  </si>
  <si>
    <t xml:space="preserve">Плановые назначения на 2015 год </t>
  </si>
  <si>
    <t xml:space="preserve">Плановые назначения на 2014 год </t>
  </si>
  <si>
    <t>Ведомственная структура бюджета на  плановый период 2014 и 2015 годов год</t>
  </si>
  <si>
    <t>от 28 марта 2013 года № 71/23
__________2010 г. № ____</t>
  </si>
  <si>
    <t>Приложение № 4.1</t>
  </si>
  <si>
    <t>ВСЕГО    ДОХОДОВ: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</si>
  <si>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</si>
  <si>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</si>
  <si>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</si>
  <si>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00021900000000000151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</si>
  <si>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</si>
  <si>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</si>
  <si>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</si>
  <si>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</si>
  <si>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</si>
  <si>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</si>
  <si>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</si>
  <si>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</t>
  </si>
  <si>
    <t>00020203999040000151</t>
  </si>
  <si>
    <t>Субвенции бюджетам городских округов 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</si>
  <si>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</si>
  <si>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</si>
  <si>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</si>
  <si>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</si>
  <si>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</si>
  <si>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</si>
  <si>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</si>
  <si>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</si>
  <si>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бюджетам городских округов  на обеспечение предоставления   жилых помещений  детям-сиротам и детям, оставшимся без попечения родителей, лицам из их числа по договорам найма специалтзированных жилых помещений</t>
  </si>
  <si>
    <t>00020203119040000151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</si>
  <si>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</si>
  <si>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</si>
  <si>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</si>
  <si>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</si>
  <si>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</si>
  <si>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</si>
  <si>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</si>
  <si>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</si>
  <si>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бюджетам  субъектов РФ и муниципальных образований</t>
  </si>
  <si>
    <t>00020203000000000151</t>
  </si>
  <si>
    <t>Субсидии бюджетам  городских округов на софинансирование расходов по организации коммунального хозяйства в части заготовки топлива</t>
  </si>
  <si>
    <t>00020202999040000151</t>
  </si>
  <si>
    <t>Прочие субсидии   бюджетам городских округов</t>
  </si>
  <si>
    <t>Субсидии  бюджетам  субъектов РФ и муниципальных образований</t>
  </si>
  <si>
    <t>00020202000000000151</t>
  </si>
  <si>
    <t>Дотации  бюджетам  городских  округов  на поддержку мер по обеспечению  сбалансированности бюджетов</t>
  </si>
  <si>
    <t>00020201003040000151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</si>
  <si>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</si>
  <si>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</si>
  <si>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</si>
  <si>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</si>
  <si>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</si>
  <si>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</si>
  <si>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  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</si>
  <si>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</si>
  <si>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</si>
  <si>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</si>
  <si>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</si>
  <si>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</si>
  <si>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</si>
  <si>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</si>
  <si>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00011643000010000140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</si>
  <si>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</si>
  <si>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</si>
  <si>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</si>
  <si>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</si>
  <si>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</si>
  <si>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</si>
  <si>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</si>
  <si>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</si>
  <si>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</si>
  <si>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</si>
  <si>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</si>
  <si>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</si>
  <si>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</si>
  <si>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</si>
  <si>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</si>
  <si>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</si>
  <si>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</si>
  <si>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</si>
  <si>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</si>
  <si>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</si>
  <si>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</si>
  <si>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</si>
  <si>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</si>
  <si>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</si>
  <si>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</si>
  <si>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</si>
  <si>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</si>
  <si>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</si>
  <si>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</si>
  <si>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</si>
  <si>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</si>
  <si>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</si>
  <si>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</si>
  <si>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</si>
  <si>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иные  виды негативного воздействия на окружающую среду</t>
  </si>
  <si>
    <t>00011201050010000120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</si>
  <si>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</si>
  <si>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</si>
  <si>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</si>
  <si>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</si>
  <si>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</si>
  <si>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</si>
  <si>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</si>
  <si>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</si>
  <si>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</si>
  <si>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</si>
  <si>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</si>
  <si>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</si>
  <si>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</si>
  <si>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</si>
  <si>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</si>
  <si>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</si>
  <si>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</si>
  <si>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</si>
  <si>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</si>
  <si>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</si>
  <si>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</si>
  <si>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</si>
  <si>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</si>
  <si>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</si>
  <si>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</si>
  <si>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</si>
  <si>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</si>
  <si>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</si>
  <si>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</si>
  <si>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</si>
  <si>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</si>
  <si>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</si>
  <si>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</si>
  <si>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</si>
  <si>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</si>
  <si>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</si>
  <si>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</si>
  <si>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</si>
  <si>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</si>
  <si>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</si>
  <si>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</si>
  <si>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</si>
  <si>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</si>
  <si>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</si>
  <si>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</si>
  <si>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</si>
  <si>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Налог, взимаемый  в связи  с применением  патентной системы налогообложения, зачисляемый в бюджеты городских округов</t>
  </si>
  <si>
    <t>00010504010020000110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</si>
  <si>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</si>
  <si>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</si>
  <si>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</si>
  <si>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</si>
  <si>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</si>
  <si>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</si>
  <si>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</si>
  <si>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</si>
  <si>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</si>
  <si>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</si>
  <si>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</si>
  <si>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</si>
  <si>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</si>
  <si>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</si>
  <si>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</si>
  <si>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</si>
  <si>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</si>
  <si>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</si>
  <si>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</si>
  <si>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</si>
  <si>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2013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</si>
  <si>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</si>
  <si>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</si>
  <si>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на 2013 год</t>
  </si>
  <si>
    <t>Совета народных депутатов</t>
  </si>
  <si>
    <t xml:space="preserve">к решению Белогорского городского                                                  </t>
  </si>
  <si>
    <t xml:space="preserve">Приложение № 1    </t>
  </si>
  <si>
    <t>Дотации  бюджетам  городских  округов  на поддержку мер  по обеспечению  сбалансированности бюджетов</t>
  </si>
  <si>
    <t>Плата за иные виды негативного воздействия  на окружающую среду</t>
  </si>
  <si>
    <t>Плановые назначения на 2015 год</t>
  </si>
  <si>
    <t>Плановые назначения на 2014 год</t>
  </si>
  <si>
    <t>Доходы местного бюджета на плановый период 2014 и 2015 годов</t>
  </si>
  <si>
    <t xml:space="preserve">Приложение № 1.1    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</si>
  <si>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</si>
  <si>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</si>
  <si>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</si>
  <si>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</si>
  <si>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</si>
  <si>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</si>
  <si>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</si>
  <si>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</si>
  <si>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</si>
  <si>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</si>
  <si>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</si>
  <si>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</si>
  <si>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</si>
  <si>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</si>
  <si>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</si>
  <si>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</si>
  <si>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</si>
  <si>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</si>
  <si>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</si>
  <si>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00301030100040000810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</si>
  <si>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</si>
  <si>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00301030100000000800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</si>
  <si>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</si>
  <si>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00301030100040000710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</si>
  <si>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</si>
  <si>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00301030100000000700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</si>
  <si>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</si>
  <si>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</si>
  <si>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</si>
  <si>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</si>
  <si>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</si>
  <si>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</si>
  <si>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</si>
  <si>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</si>
  <si>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</si>
  <si>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</si>
  <si>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</si>
  <si>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</si>
  <si>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(тыс. руб.)</t>
  </si>
  <si>
    <t>дефицита местного бюджета на 2013 год</t>
  </si>
  <si>
    <t>Источники внутреннего финансирования</t>
  </si>
  <si>
    <t>к решению Белогорского городского</t>
  </si>
  <si>
    <t>Приложение № 3</t>
  </si>
  <si>
    <t>дефицита местного бюджета на  плановый перид 2014 и 2015 годов</t>
  </si>
  <si>
    <t>Приложение № 3.1</t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</si>
  <si>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</si>
  <si>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</si>
  <si>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</si>
  <si>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</si>
  <si>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</si>
  <si>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</si>
  <si>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</si>
  <si>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</si>
  <si>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 xml:space="preserve"> 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</si>
  <si>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</si>
  <si>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 xml:space="preserve"> 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</si>
  <si>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</si>
  <si>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01 02 00 00 04 0000 810</t>
  </si>
  <si>
    <t>01 02  00 00 04 0000 710</t>
  </si>
  <si>
    <t>Муниципальное казенное учреждение  (МКУ "Финансовое управление Администрации г. Белогорск")</t>
  </si>
  <si>
    <t>Код  группы, подгруппы, статьи  и вида  источников</t>
  </si>
  <si>
    <t>Код          главы</t>
  </si>
  <si>
    <t xml:space="preserve">Перечень главных  администраторов  источников  внутреннего  финансирования  дефицита  местного  бюджета  </t>
  </si>
  <si>
    <r>
      <rPr>
        <b/>
        <sz val="13"/>
        <rFont val="Times New Roman"/>
        <family val="1"/>
      </rPr>
      <t xml:space="preserve">Приложение № 3.2  </t>
    </r>
    <r>
      <rPr>
        <sz val="10"/>
        <rFont val="Times New Roman"/>
        <family val="1"/>
      </rPr>
      <t xml:space="preserve">
</t>
    </r>
  </si>
  <si>
    <t>классификации</t>
  </si>
  <si>
    <t xml:space="preserve"> осуществляется администратором, указанным  в  группировочнном  коде  бюджетной  </t>
  </si>
  <si>
    <t xml:space="preserve">* Администрирование  поступлений  по всем подгруппам, подстатьям, подвидам   </t>
  </si>
  <si>
    <t>Невыясненные поступления, зачисляемые в бюджеты  городских  округов</t>
  </si>
  <si>
    <t>117 01040 04 0000 180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</si>
  <si>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</si>
  <si>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</t>
  </si>
  <si>
    <t>Иные  доходы  местного  бюджета, администрирование  которых  может  осуществляться  главными  администраторами  местного  бюджета  в пределах  их  компетенции</t>
  </si>
  <si>
    <t>Прочие безвозмездные поступления  в бюджеты городских округов</t>
  </si>
  <si>
    <t>207 04050 04 0000 180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</si>
  <si>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</si>
  <si>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207 04020 04 0000 180</t>
  </si>
  <si>
    <t>Поступления от денежных пожертвований, предоставляемых  негосударствеными    организациями получателям  средств  бюджетов городских округов</t>
  </si>
  <si>
    <t>204 04020 04 0000 180</t>
  </si>
  <si>
    <t>Поступления от денежных пожертвований, предоставляемых  государствеными  (муниципальными)  организациями получателям  средств  бюджетов городских округов</t>
  </si>
  <si>
    <t>203 04020 04 0000 180</t>
  </si>
  <si>
    <t>Прочие  доходы  от   компенсации  затрат  бюджетов  городских  округов.</t>
  </si>
  <si>
    <t>113 02994 04 0000 130</t>
  </si>
  <si>
    <t>Прочие  доходы  от   оказания  платных услуг (работ)  получателями средств  бюджетов  городских  округов.</t>
  </si>
  <si>
    <t>113 01994 04 0000 130</t>
  </si>
  <si>
    <t>МКУ "Управление  культуры Администрации г. Белогорск"</t>
  </si>
  <si>
    <t>МКУ "Управление по делам  гражданской  обороны и чрезвычайным ситуациям  Администрации города  Белогорск"</t>
  </si>
  <si>
    <t>МКУ "Комитет по образованию  и делам молодежи Администрации города Белогорск"</t>
  </si>
  <si>
    <t>МКУ "Управление по физической культуре и спорту Администрации  города Белогорск"</t>
  </si>
  <si>
    <t>МКУ "Служба по обеспечению деятельности органов местного самоуправления Администрации города Белогорск"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</si>
  <si>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казенных).</t>
  </si>
  <si>
    <t>111 09044  04 0000 120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</si>
  <si>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</si>
  <si>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108 07173 01 1000 110</t>
  </si>
  <si>
    <t>МКУ "Управление жилищно-коммунального хозяйства Администрации города  Белогорск"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</si>
  <si>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</si>
  <si>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</si>
  <si>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</si>
  <si>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1 14  06012 04 0000430</t>
  </si>
  <si>
    <r>
      <t xml:space="preserve">Доходы  от  реализации  имущества,  находящегося  в  оперативном  управлении  учреждений, находящихся  в  ведении  органов  управления  городских  округов (за  исключением  имущества  муниципальных  </t>
    </r>
    <r>
      <rPr>
        <sz val="12"/>
        <rFont val="Times New Roman"/>
        <family val="1"/>
      </rPr>
      <t>бюджетных</t>
    </r>
    <r>
      <rPr>
        <sz val="12"/>
        <color indexed="8"/>
        <rFont val="Times New Roman"/>
        <family val="1"/>
      </rPr>
      <t xml:space="preserve"> и автономных  учреждений),  в  части  реализации  основных  средств    по  указанному  имуществу.</t>
    </r>
  </si>
  <si>
    <t>114 02042 04 0000 410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</si>
  <si>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</si>
  <si>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</si>
  <si>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 xml:space="preserve"> Доходы  от  продажи  материальных  и  нематериальных  активов</t>
  </si>
  <si>
    <t>114 00000 00 0000 000</t>
  </si>
  <si>
    <t>Доходы от  оказания  платных  услуг (работ)  и  компенсации  затрат  государства</t>
  </si>
  <si>
    <t>113 00000 00 0000 000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</si>
  <si>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</si>
  <si>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</si>
  <si>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</si>
  <si>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</si>
  <si>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</si>
  <si>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</si>
  <si>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казенных).</t>
    </r>
  </si>
  <si>
    <t>Доходы от  использования  имущества, находящегося  в государственной  и  муниципальной  собственности</t>
  </si>
  <si>
    <t>111 00000 00 0000 000</t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</si>
  <si>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</si>
  <si>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</si>
  <si>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</si>
  <si>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Государственная  пошлина</t>
  </si>
  <si>
    <t>108 00000 00 0000 000</t>
  </si>
  <si>
    <t>МКУ "Комитет имущественных отношений Администрации города  Белогорск"</t>
  </si>
  <si>
    <t xml:space="preserve">Безвозмездные  поступления </t>
  </si>
  <si>
    <t xml:space="preserve"> 200 00000 00 0000 000 *</t>
  </si>
  <si>
    <t>Прочие неналоговые доходы  бюджетов  городских  округов</t>
  </si>
  <si>
    <t>117 05040 04 0000 180</t>
  </si>
  <si>
    <t>Прочие  неналоговые  доходы</t>
  </si>
  <si>
    <t>117 00000 00 0000 000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</si>
  <si>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</si>
  <si>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 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</si>
  <si>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округов).</t>
  </si>
  <si>
    <t>116 32000 04 0000140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</si>
  <si>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</si>
  <si>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Штрафы, санкции,  возмещение  ущерба</t>
  </si>
  <si>
    <t>116 00000 00 0000 000</t>
  </si>
  <si>
    <t>Проценты, полученные от предоставления бюджетных кредитов   внутри  страны    за счет средств бюджетов  городских  округов</t>
  </si>
  <si>
    <t>111 03040 04 0000 120</t>
  </si>
  <si>
    <t>МКУ "Финансовое управление Администрации города Белогорск"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</si>
  <si>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</si>
  <si>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</si>
  <si>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</si>
  <si>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</si>
  <si>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 xml:space="preserve">Перечень  и  коды  главных  администраторов доходов  местного
бюджета – органов местного самоуправления,  а  также  закрепляемые  за  ними виды (подвиды) доходов  местного  бюджета  на 2013 год и плановый период 2014 и 2015 годов
</t>
  </si>
  <si>
    <r>
      <rPr>
        <b/>
        <sz val="12"/>
        <rFont val="Times New Roman"/>
        <family val="1"/>
      </rPr>
      <t xml:space="preserve">Приложение № 5  </t>
    </r>
    <r>
      <rPr>
        <sz val="12"/>
        <rFont val="Times New Roman"/>
        <family val="1"/>
      </rPr>
      <t xml:space="preserve">                                                                   
</t>
    </r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</si>
  <si>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</si>
  <si>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</si>
  <si>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927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</si>
  <si>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</si>
  <si>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Денежные взыскания (штрафы) за нарушение законодательства в  области охраны окружающей среды</t>
  </si>
  <si>
    <t>116 25050 01 0000 140</t>
  </si>
  <si>
    <t>924</t>
  </si>
  <si>
    <t>Министерство  природных  ресурсов  Амурской  области</t>
  </si>
  <si>
    <t>116  90040 04 6000 140</t>
  </si>
  <si>
    <t>918</t>
  </si>
  <si>
    <t>Министерство здравоохранения  Амурской области</t>
  </si>
  <si>
    <t>906</t>
  </si>
  <si>
    <t>Управление ветеринарии Амурской области</t>
  </si>
  <si>
    <t>498</t>
  </si>
  <si>
    <t>Федеральная служба  по экологическому, технологическому технологическому и атомному надзору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</si>
  <si>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</si>
  <si>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</si>
  <si>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>Федеральная  служба  судебных  приставов</t>
  </si>
  <si>
    <t>Денежные взыскания (штрафы)  за  нарушение  земельного  законодательства</t>
  </si>
  <si>
    <t>116  25060 01  6000 140</t>
  </si>
  <si>
    <t>Федеральная служба государственной регистрации, кадастра и картографии</t>
  </si>
  <si>
    <t>116 43000 01 6000 140</t>
  </si>
  <si>
    <t>192</t>
  </si>
  <si>
    <t>Федеральная  миграционная  служба</t>
  </si>
  <si>
    <t>116  90040 04 0000 140</t>
  </si>
  <si>
    <t>188</t>
  </si>
  <si>
    <t>Министерство  внутренних  дел  Российской  Федерации</t>
  </si>
  <si>
    <t>182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</si>
  <si>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</si>
  <si>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</si>
  <si>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</si>
  <si>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</si>
  <si>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</si>
  <si>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</si>
  <si>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</si>
  <si>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</si>
  <si>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</si>
  <si>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</si>
  <si>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</si>
  <si>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</si>
  <si>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</si>
  <si>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</si>
  <si>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</si>
  <si>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</si>
  <si>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</si>
  <si>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</si>
  <si>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</si>
  <si>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</si>
  <si>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</si>
  <si>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</si>
  <si>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</si>
  <si>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</si>
  <si>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</si>
  <si>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</si>
  <si>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</si>
  <si>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</si>
  <si>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</si>
  <si>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</si>
  <si>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</si>
  <si>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101 02040 01 0000 110</t>
  </si>
  <si>
    <t>101 02030 01 0000 110</t>
  </si>
  <si>
    <t>101 02020 01 0000 110</t>
  </si>
  <si>
    <t>101 02010 01 0000 110</t>
  </si>
  <si>
    <t>Федеральная  налоговая  служба</t>
  </si>
  <si>
    <t>116  90040 04 7000 140</t>
  </si>
  <si>
    <t>177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</si>
  <si>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</si>
  <si>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</si>
  <si>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116  33040 04 6000 140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</si>
  <si>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</si>
  <si>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</si>
  <si>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</si>
  <si>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</si>
  <si>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</si>
  <si>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</si>
  <si>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</si>
  <si>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</si>
  <si>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</si>
  <si>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</si>
  <si>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</si>
  <si>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</si>
  <si>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106</t>
  </si>
  <si>
    <t>Федеральная  служба  по  надзору  в  сфере  транспорта</t>
  </si>
  <si>
    <t>081</t>
  </si>
  <si>
    <t>Денежные взыскания (штрафы)  за  нарушение    законодательства  об охране  и  использовании  животного  мира</t>
  </si>
  <si>
    <t>116  25030 01  6000 140</t>
  </si>
  <si>
    <t>Федеральная  служба  по  ветеринарному и  фитосанитарному  надзору</t>
  </si>
  <si>
    <t>048</t>
  </si>
  <si>
    <t>112 01050 01 6000 120</t>
  </si>
  <si>
    <t>112 01040 01 6000 120</t>
  </si>
  <si>
    <t>112 01030 01 6000 120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</si>
  <si>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</si>
  <si>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</si>
  <si>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</si>
  <si>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</t>
  </si>
  <si>
    <t>019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</si>
  <si>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 регистрационных  знаков, водительских удостоверений</t>
  </si>
  <si>
    <t>108 07140 01  0000 110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</si>
  <si>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</si>
  <si>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 xml:space="preserve">Перечень  и  коды  главных  администраторов доходов  местного  бюджета- органов    государственной  власти ( органов  государственной  власти  Российской  Федерации, органов государственной  власти  субъекта  Российской  Федерации), а  также  закрепляемые  за  ними виды (подвиды)  доходов  местного  бюджета  на 2013 год и плановый период 2014 и 2015 годов </t>
  </si>
  <si>
    <t>к   решению  Белогорского городского Совета народных депутатов</t>
  </si>
  <si>
    <r>
      <rPr>
        <b/>
        <sz val="13"/>
        <rFont val="Times New Roman"/>
        <family val="1"/>
      </rPr>
      <t xml:space="preserve">Приложение № 6  </t>
    </r>
    <r>
      <rPr>
        <sz val="13"/>
        <rFont val="Times New Roman"/>
        <family val="1"/>
      </rPr>
      <t xml:space="preserve">                                                                   
</t>
    </r>
  </si>
  <si>
    <t>ВСЕГО:</t>
  </si>
  <si>
    <t>Итого по разделу 7:</t>
  </si>
  <si>
    <t>7.1.</t>
  </si>
  <si>
    <t>7. Муниципальное казенное учреждение "Комитет имущественных отношений Администрации города Белогорск"</t>
  </si>
  <si>
    <t>Итого по разделу 6:</t>
  </si>
  <si>
    <t>в том числе:</t>
  </si>
  <si>
    <t>ГЦП "Развитие физической культуры и спорта на территории города Белогорск на 2012-2014 годы"</t>
  </si>
  <si>
    <t>6.3</t>
  </si>
  <si>
    <t>6.2</t>
  </si>
  <si>
    <t>ГЦП "Развитие и сохранение культуры и искусства  г.Белогорска на 2012-2015 годы"</t>
  </si>
  <si>
    <t>6.1.</t>
  </si>
  <si>
    <t>6. Муниципальное казенное учреждение "Управление культуры Администрации г.Белогорск"</t>
  </si>
  <si>
    <t>Итого по разделу 5:</t>
  </si>
  <si>
    <t>ГЦП "Профилактика терроризма и экстремизма на территории муниципального образования г. Белогорск на 2012-2013 годы"</t>
  </si>
  <si>
    <t>5.7</t>
  </si>
  <si>
    <t>5.6</t>
  </si>
  <si>
    <t>5.3</t>
  </si>
  <si>
    <t>5.2</t>
  </si>
  <si>
    <t>в том числе :</t>
  </si>
  <si>
    <t>ГЦП "Развитие  образования  г. Белогорск на 2011-2015 годы"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</si>
  <si>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</si>
  <si>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</si>
  <si>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</si>
  <si>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</si>
  <si>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</si>
  <si>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</si>
  <si>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</si>
  <si>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ГЦП "Социальное и экономическое развитие с.Низинное муниципального образования города Белогорск на 2011-2013 годы"</t>
  </si>
  <si>
    <t>3.2</t>
  </si>
  <si>
    <t>3.1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</si>
  <si>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</si>
  <si>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Итого по разделу 2:</t>
  </si>
  <si>
    <t>2.7</t>
  </si>
  <si>
    <t>2.6</t>
  </si>
  <si>
    <t>2.5</t>
  </si>
  <si>
    <t>ГЦП "Развитие наружного освещения города Белогорск на 2011-2015 годы"</t>
  </si>
  <si>
    <t>2.4</t>
  </si>
  <si>
    <t>2.3</t>
  </si>
  <si>
    <t>ГЦП "Реформирование и модернизация жилищно-коммунального комплекса г.Белогорск на 2009-2015 годы"</t>
  </si>
  <si>
    <t>2.2</t>
  </si>
  <si>
    <t>ГЦП "Развитие дорожной сети  г.  Белогорска на 2009-2017 годы"</t>
  </si>
  <si>
    <t>2.1</t>
  </si>
  <si>
    <t>2. Муниципальное казенное учреждение "Управление жилищно-коммунального хозяйства Администрации города Белогорск"</t>
  </si>
  <si>
    <t>Итого по разделу 1:</t>
  </si>
  <si>
    <t>2.0</t>
  </si>
  <si>
    <t>1.9.</t>
  </si>
  <si>
    <t>1.8</t>
  </si>
  <si>
    <t>1.7</t>
  </si>
  <si>
    <t>1.6</t>
  </si>
  <si>
    <t>1.5</t>
  </si>
  <si>
    <t>1.4</t>
  </si>
  <si>
    <t>1.3</t>
  </si>
  <si>
    <t>1.2</t>
  </si>
  <si>
    <t>ГЦП "Создание условий для развития малого и среднего бизнеса в г.Белогорске на 2011-2015 годы"</t>
  </si>
  <si>
    <t>1.1</t>
  </si>
  <si>
    <t>1.  Администрация города Белогорск</t>
  </si>
  <si>
    <t>План на 2013 год</t>
  </si>
  <si>
    <t>Наименование  раздела/программы</t>
  </si>
  <si>
    <t>№ п/п</t>
  </si>
  <si>
    <t>предусмотренных к финансированию из местного бюджета на 2013 год</t>
  </si>
  <si>
    <t>долгосрочных городских целевых программ,</t>
  </si>
  <si>
    <t>ПЕРЕЧЕНЬ</t>
  </si>
  <si>
    <t>Приложение № 7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</si>
  <si>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</si>
  <si>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</si>
  <si>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</si>
  <si>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</si>
  <si>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</si>
  <si>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</si>
  <si>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муниципального образования г. Белогорск  на  2013 год</t>
  </si>
  <si>
    <t xml:space="preserve">Программа муниципальных  внутренних  заимствований  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</si>
  <si>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</si>
  <si>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Предоставление единовременной денежной выплаты при передаче ребенка на воспитание в семью</t>
  </si>
  <si>
    <t>Дополнительные гарантии по социальной поддержке детей-сирот и детей, оставшихся без попечения родителей, за счет средств областного бюджета</t>
  </si>
  <si>
    <t>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</si>
  <si>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2. МУ "Комитет по образованию, делам молодежи" администрации г. Белогорска</t>
  </si>
  <si>
    <t>1. Администрация города Белогорск</t>
  </si>
  <si>
    <t xml:space="preserve">Наименование  </t>
  </si>
  <si>
    <t>тыс. руб.</t>
  </si>
  <si>
    <t>публичных нормативных обязательств</t>
  </si>
  <si>
    <t xml:space="preserve">от 28 марта 2013 года № 71/23
</t>
  </si>
  <si>
    <t>к решению Белогорского  городского Совета народных депутатов</t>
  </si>
  <si>
    <t>Приложение №10</t>
  </si>
  <si>
    <t xml:space="preserve">предусмотренных к финансированию из местного бюджета на плановый период 2014 и 2015 годов </t>
  </si>
  <si>
    <t>Приложение №10.1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</si>
</sst>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98">
    <xf numFmtId="0" fontId="0" fillId="0" borderId="0" xfId="0" applyFont="1" applyAlignment="1">
      <alignment/>
    </xf>
    <xf numFmtId="0" fontId="19" fillId="0" borderId="0" xfId="58" applyFont="1">
      <alignment/>
      <protection/>
    </xf>
    <xf numFmtId="3" fontId="19" fillId="0" borderId="0" xfId="58" applyNumberFormat="1" applyFont="1">
      <alignment/>
      <protection/>
    </xf>
    <xf numFmtId="164" fontId="19" fillId="0" borderId="0" xfId="58" applyNumberFormat="1" applyFont="1">
      <alignment/>
      <protection/>
    </xf>
    <xf numFmtId="165" fontId="20" fillId="0" borderId="0" xfId="58" applyNumberFormat="1" applyFont="1" applyFill="1" applyBorder="1" applyAlignment="1">
      <alignment/>
      <protection/>
    </xf>
    <xf numFmtId="0" fontId="21" fillId="0" borderId="0" xfId="58" applyFont="1" applyBorder="1" applyAlignment="1">
      <alignment vertical="top" wrapText="1"/>
      <protection/>
    </xf>
    <xf numFmtId="49" fontId="21" fillId="0" borderId="0" xfId="58" applyNumberFormat="1" applyFont="1" applyBorder="1" applyAlignment="1">
      <alignment horizontal="right" vertical="top"/>
      <protection/>
    </xf>
    <xf numFmtId="165" fontId="22" fillId="0" borderId="10" xfId="58" applyNumberFormat="1" applyFont="1" applyBorder="1" applyAlignment="1">
      <alignment horizontal="right" vertical="center"/>
      <protection/>
    </xf>
    <xf numFmtId="0" fontId="22" fillId="0" borderId="11" xfId="58" applyFont="1" applyBorder="1" applyAlignment="1">
      <alignment horizontal="left" vertical="center" wrapText="1"/>
      <protection/>
    </xf>
    <xf numFmtId="0" fontId="22" fillId="0" borderId="12" xfId="58" applyFont="1" applyBorder="1" applyAlignment="1">
      <alignment horizontal="left" vertical="center" wrapText="1"/>
      <protection/>
    </xf>
    <xf numFmtId="165" fontId="23" fillId="0" borderId="13" xfId="58" applyNumberFormat="1" applyFont="1" applyFill="1" applyBorder="1" applyAlignment="1">
      <alignment horizontal="right" vertical="center"/>
      <protection/>
    </xf>
    <xf numFmtId="0" fontId="23" fillId="33" borderId="0" xfId="58" applyFont="1" applyFill="1" applyBorder="1" applyAlignment="1">
      <alignment vertical="center" wrapText="1"/>
      <protection/>
    </xf>
    <xf numFmtId="49" fontId="21" fillId="0" borderId="13" xfId="58" applyNumberFormat="1" applyFont="1" applyBorder="1" applyAlignment="1">
      <alignment horizontal="center" vertical="center"/>
      <protection/>
    </xf>
    <xf numFmtId="165" fontId="22" fillId="0" borderId="14" xfId="58" applyNumberFormat="1" applyFont="1" applyFill="1" applyBorder="1" applyAlignment="1">
      <alignment horizontal="right" vertical="center"/>
      <protection/>
    </xf>
    <xf numFmtId="0" fontId="22" fillId="33" borderId="14" xfId="58" applyFont="1" applyFill="1" applyBorder="1" applyAlignment="1">
      <alignment vertical="center" wrapText="1"/>
      <protection/>
    </xf>
    <xf numFmtId="49" fontId="20" fillId="0" borderId="14" xfId="58" applyNumberFormat="1" applyFont="1" applyBorder="1" applyAlignment="1">
      <alignment horizontal="center" vertical="center"/>
      <protection/>
    </xf>
    <xf numFmtId="0" fontId="23" fillId="0" borderId="0" xfId="58" applyFont="1" applyFill="1" applyBorder="1" applyAlignment="1">
      <alignment vertical="center" wrapText="1"/>
      <protection/>
    </xf>
    <xf numFmtId="165" fontId="22" fillId="0" borderId="13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Border="1" applyAlignment="1">
      <alignment vertical="center" wrapText="1"/>
      <protection/>
    </xf>
    <xf numFmtId="49" fontId="20" fillId="0" borderId="13" xfId="58" applyNumberFormat="1" applyFont="1" applyBorder="1" applyAlignment="1">
      <alignment horizontal="center" vertical="center"/>
      <protection/>
    </xf>
    <xf numFmtId="165" fontId="23" fillId="0" borderId="15" xfId="58" applyNumberFormat="1" applyFont="1" applyFill="1" applyBorder="1" applyAlignment="1">
      <alignment horizontal="right" vertical="center"/>
      <protection/>
    </xf>
    <xf numFmtId="0" fontId="23" fillId="0" borderId="15" xfId="58" applyFont="1" applyFill="1" applyBorder="1" applyAlignment="1">
      <alignment vertical="center" wrapText="1"/>
      <protection/>
    </xf>
    <xf numFmtId="49" fontId="21" fillId="0" borderId="15" xfId="58" applyNumberFormat="1" applyFont="1" applyBorder="1" applyAlignment="1">
      <alignment horizontal="center" vertical="center"/>
      <protection/>
    </xf>
    <xf numFmtId="0" fontId="23" fillId="0" borderId="0" xfId="58" applyFont="1" applyBorder="1" applyAlignment="1">
      <alignment vertical="center" wrapText="1"/>
      <protection/>
    </xf>
    <xf numFmtId="0" fontId="22" fillId="0" borderId="16" xfId="58" applyFont="1" applyBorder="1" applyAlignment="1">
      <alignment vertical="center" wrapText="1"/>
      <protection/>
    </xf>
    <xf numFmtId="0" fontId="23" fillId="0" borderId="17" xfId="58" applyFont="1" applyBorder="1" applyAlignment="1">
      <alignment vertical="center" wrapText="1"/>
      <protection/>
    </xf>
    <xf numFmtId="165" fontId="23" fillId="0" borderId="14" xfId="58" applyNumberFormat="1" applyFont="1" applyBorder="1" applyAlignment="1">
      <alignment horizontal="right" vertical="center"/>
      <protection/>
    </xf>
    <xf numFmtId="0" fontId="23" fillId="0" borderId="14" xfId="58" applyFont="1" applyFill="1" applyBorder="1" applyAlignment="1">
      <alignment vertical="center" wrapText="1"/>
      <protection/>
    </xf>
    <xf numFmtId="49" fontId="21" fillId="0" borderId="14" xfId="58" applyNumberFormat="1" applyFont="1" applyBorder="1" applyAlignment="1">
      <alignment horizontal="center" vertical="center"/>
      <protection/>
    </xf>
    <xf numFmtId="165" fontId="23" fillId="0" borderId="18" xfId="58" applyNumberFormat="1" applyFont="1" applyBorder="1" applyAlignment="1">
      <alignment horizontal="right" vertical="center"/>
      <protection/>
    </xf>
    <xf numFmtId="0" fontId="23" fillId="0" borderId="15" xfId="58" applyFont="1" applyBorder="1" applyAlignment="1">
      <alignment vertical="center" wrapText="1"/>
      <protection/>
    </xf>
    <xf numFmtId="165" fontId="23" fillId="0" borderId="13" xfId="58" applyNumberFormat="1" applyFont="1" applyBorder="1" applyAlignment="1">
      <alignment horizontal="right" vertical="center"/>
      <protection/>
    </xf>
    <xf numFmtId="165" fontId="22" fillId="0" borderId="14" xfId="58" applyNumberFormat="1" applyFont="1" applyBorder="1" applyAlignment="1">
      <alignment horizontal="right" vertical="center"/>
      <protection/>
    </xf>
    <xf numFmtId="0" fontId="22" fillId="0" borderId="14" xfId="58" applyFont="1" applyBorder="1" applyAlignment="1">
      <alignment vertical="center" wrapText="1"/>
      <protection/>
    </xf>
    <xf numFmtId="49" fontId="21" fillId="0" borderId="19" xfId="58" applyNumberFormat="1" applyFont="1" applyFill="1" applyBorder="1" applyAlignment="1">
      <alignment horizontal="center" vertical="center"/>
      <protection/>
    </xf>
    <xf numFmtId="165" fontId="22" fillId="0" borderId="20" xfId="58" applyNumberFormat="1" applyFont="1" applyBorder="1" applyAlignment="1">
      <alignment horizontal="right" vertical="center"/>
      <protection/>
    </xf>
    <xf numFmtId="49" fontId="20" fillId="0" borderId="21" xfId="58" applyNumberFormat="1" applyFont="1" applyBorder="1" applyAlignment="1">
      <alignment horizontal="center" vertical="center"/>
      <protection/>
    </xf>
    <xf numFmtId="0" fontId="23" fillId="0" borderId="13" xfId="58" applyFont="1" applyFill="1" applyBorder="1" applyAlignment="1">
      <alignment vertical="center" wrapText="1"/>
      <protection/>
    </xf>
    <xf numFmtId="49" fontId="21" fillId="0" borderId="15" xfId="58" applyNumberFormat="1" applyFont="1" applyFill="1" applyBorder="1" applyAlignment="1">
      <alignment horizontal="center" vertical="center"/>
      <protection/>
    </xf>
    <xf numFmtId="165" fontId="23" fillId="0" borderId="20" xfId="58" applyNumberFormat="1" applyFont="1" applyBorder="1" applyAlignment="1">
      <alignment horizontal="right" vertical="center"/>
      <protection/>
    </xf>
    <xf numFmtId="0" fontId="23" fillId="0" borderId="13" xfId="58" applyFont="1" applyBorder="1" applyAlignment="1">
      <alignment vertical="center" wrapText="1"/>
      <protection/>
    </xf>
    <xf numFmtId="165" fontId="22" fillId="0" borderId="22" xfId="58" applyNumberFormat="1" applyFont="1" applyBorder="1" applyAlignment="1">
      <alignment horizontal="right" vertical="center"/>
      <protection/>
    </xf>
    <xf numFmtId="165" fontId="23" fillId="0" borderId="15" xfId="58" applyNumberFormat="1" applyFont="1" applyBorder="1" applyAlignment="1">
      <alignment horizontal="right" vertical="center"/>
      <protection/>
    </xf>
    <xf numFmtId="0" fontId="23" fillId="0" borderId="19" xfId="58" applyFont="1" applyFill="1" applyBorder="1" applyAlignment="1">
      <alignment vertical="top" wrapText="1"/>
      <protection/>
    </xf>
    <xf numFmtId="49" fontId="21" fillId="0" borderId="19" xfId="58" applyNumberFormat="1" applyFont="1" applyBorder="1" applyAlignment="1">
      <alignment horizontal="center" vertical="top"/>
      <protection/>
    </xf>
    <xf numFmtId="0" fontId="23" fillId="0" borderId="21" xfId="58" applyFont="1" applyBorder="1" applyAlignment="1">
      <alignment vertical="top" wrapText="1"/>
      <protection/>
    </xf>
    <xf numFmtId="49" fontId="21" fillId="0" borderId="21" xfId="58" applyNumberFormat="1" applyFont="1" applyBorder="1" applyAlignment="1">
      <alignment horizontal="center" vertical="top"/>
      <protection/>
    </xf>
    <xf numFmtId="165" fontId="22" fillId="0" borderId="13" xfId="58" applyNumberFormat="1" applyFont="1" applyBorder="1" applyAlignment="1">
      <alignment horizontal="right" vertical="center"/>
      <protection/>
    </xf>
    <xf numFmtId="0" fontId="22" fillId="0" borderId="21" xfId="58" applyFont="1" applyFill="1" applyBorder="1" applyAlignment="1">
      <alignment vertical="top" wrapText="1"/>
      <protection/>
    </xf>
    <xf numFmtId="49" fontId="20" fillId="0" borderId="21" xfId="58" applyNumberFormat="1" applyFont="1" applyBorder="1" applyAlignment="1">
      <alignment horizontal="center" vertical="top"/>
      <protection/>
    </xf>
    <xf numFmtId="165" fontId="23" fillId="0" borderId="18" xfId="58" applyNumberFormat="1" applyFont="1" applyFill="1" applyBorder="1" applyAlignment="1">
      <alignment horizontal="right" vertical="center"/>
      <protection/>
    </xf>
    <xf numFmtId="49" fontId="21" fillId="0" borderId="19" xfId="58" applyNumberFormat="1" applyFont="1" applyBorder="1" applyAlignment="1">
      <alignment horizontal="center" vertical="center"/>
      <protection/>
    </xf>
    <xf numFmtId="165" fontId="22" fillId="0" borderId="22" xfId="58" applyNumberFormat="1" applyFont="1" applyFill="1" applyBorder="1" applyAlignment="1">
      <alignment horizontal="right" vertical="center"/>
      <protection/>
    </xf>
    <xf numFmtId="0" fontId="22" fillId="0" borderId="14" xfId="58" applyFont="1" applyFill="1" applyBorder="1" applyAlignment="1">
      <alignment vertical="center" wrapText="1"/>
      <protection/>
    </xf>
    <xf numFmtId="49" fontId="20" fillId="0" borderId="23" xfId="58" applyNumberFormat="1" applyFont="1" applyBorder="1" applyAlignment="1">
      <alignment horizontal="center" vertical="center"/>
      <protection/>
    </xf>
    <xf numFmtId="165" fontId="23" fillId="0" borderId="20" xfId="58" applyNumberFormat="1" applyFont="1" applyFill="1" applyBorder="1" applyAlignment="1">
      <alignment horizontal="right" vertical="center"/>
      <protection/>
    </xf>
    <xf numFmtId="49" fontId="21" fillId="0" borderId="21" xfId="58" applyNumberFormat="1" applyFont="1" applyBorder="1" applyAlignment="1">
      <alignment horizontal="center" vertical="center"/>
      <protection/>
    </xf>
    <xf numFmtId="0" fontId="23" fillId="33" borderId="13" xfId="58" applyFont="1" applyFill="1" applyBorder="1" applyAlignment="1">
      <alignment vertical="center" wrapText="1"/>
      <protection/>
    </xf>
    <xf numFmtId="0" fontId="24" fillId="34" borderId="13" xfId="58" applyFont="1" applyFill="1" applyBorder="1" applyAlignment="1">
      <alignment vertical="center" wrapText="1"/>
      <protection/>
    </xf>
    <xf numFmtId="165" fontId="23" fillId="33" borderId="20" xfId="58" applyNumberFormat="1" applyFont="1" applyFill="1" applyBorder="1" applyAlignment="1">
      <alignment horizontal="right" vertical="center"/>
      <protection/>
    </xf>
    <xf numFmtId="0" fontId="23" fillId="0" borderId="13" xfId="58" applyFont="1" applyFill="1" applyBorder="1" applyAlignment="1">
      <alignment vertical="top" wrapText="1"/>
      <protection/>
    </xf>
    <xf numFmtId="49" fontId="21" fillId="0" borderId="21" xfId="58" applyNumberFormat="1" applyFont="1" applyBorder="1" applyAlignment="1">
      <alignment horizontal="center" vertical="center" wrapText="1"/>
      <protection/>
    </xf>
    <xf numFmtId="0" fontId="25" fillId="0" borderId="13" xfId="58" applyFont="1" applyBorder="1" applyAlignment="1">
      <alignment vertical="center" wrapText="1"/>
      <protection/>
    </xf>
    <xf numFmtId="0" fontId="22" fillId="0" borderId="13" xfId="58" applyFont="1" applyBorder="1" applyAlignment="1">
      <alignment vertical="center" wrapText="1"/>
      <protection/>
    </xf>
    <xf numFmtId="49" fontId="20" fillId="0" borderId="23" xfId="58" applyNumberFormat="1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vertical="top" wrapText="1"/>
      <protection/>
    </xf>
    <xf numFmtId="0" fontId="25" fillId="0" borderId="13" xfId="58" applyFont="1" applyBorder="1" applyAlignment="1">
      <alignment vertical="top" wrapText="1"/>
      <protection/>
    </xf>
    <xf numFmtId="0" fontId="22" fillId="0" borderId="13" xfId="58" applyFont="1" applyBorder="1" applyAlignment="1">
      <alignment vertical="top" wrapText="1"/>
      <protection/>
    </xf>
    <xf numFmtId="49" fontId="20" fillId="0" borderId="23" xfId="58" applyNumberFormat="1" applyFont="1" applyBorder="1" applyAlignment="1">
      <alignment horizontal="center" vertical="top"/>
      <protection/>
    </xf>
    <xf numFmtId="49" fontId="25" fillId="0" borderId="13" xfId="58" applyNumberFormat="1" applyFont="1" applyFill="1" applyBorder="1" applyAlignment="1">
      <alignment vertical="top" wrapText="1"/>
      <protection/>
    </xf>
    <xf numFmtId="0" fontId="23" fillId="0" borderId="13" xfId="58" applyFont="1" applyFill="1" applyBorder="1" applyAlignment="1">
      <alignment horizontal="left" vertical="top" wrapText="1"/>
      <protection/>
    </xf>
    <xf numFmtId="0" fontId="23" fillId="0" borderId="13" xfId="58" applyFont="1" applyBorder="1" applyAlignment="1">
      <alignment vertical="top" wrapText="1"/>
      <protection/>
    </xf>
    <xf numFmtId="0" fontId="19" fillId="0" borderId="10" xfId="58" applyFont="1" applyBorder="1" applyAlignment="1">
      <alignment horizontal="center"/>
      <protection/>
    </xf>
    <xf numFmtId="0" fontId="21" fillId="0" borderId="14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19" fillId="0" borderId="17" xfId="58" applyFont="1" applyBorder="1" applyAlignment="1">
      <alignment horizontal="right"/>
      <protection/>
    </xf>
    <xf numFmtId="0" fontId="23" fillId="0" borderId="17" xfId="58" applyFont="1" applyBorder="1" applyAlignment="1">
      <alignment/>
      <protection/>
    </xf>
    <xf numFmtId="0" fontId="22" fillId="0" borderId="0" xfId="58" applyFont="1" applyAlignment="1">
      <alignment horizontal="center" wrapText="1"/>
      <protection/>
    </xf>
    <xf numFmtId="0" fontId="19" fillId="0" borderId="0" xfId="58" applyFont="1" applyAlignment="1">
      <alignment/>
      <protection/>
    </xf>
    <xf numFmtId="0" fontId="20" fillId="0" borderId="0" xfId="58" applyFont="1" applyAlignment="1">
      <alignment horizontal="center" wrapText="1"/>
      <protection/>
    </xf>
    <xf numFmtId="0" fontId="21" fillId="0" borderId="0" xfId="58" applyFont="1" applyFill="1">
      <alignment/>
      <protection/>
    </xf>
    <xf numFmtId="0" fontId="21" fillId="0" borderId="0" xfId="58" applyFont="1" applyFill="1" applyAlignment="1">
      <alignment wrapText="1"/>
      <protection/>
    </xf>
    <xf numFmtId="0" fontId="27" fillId="0" borderId="0" xfId="58" applyFont="1" applyFill="1" applyAlignment="1">
      <alignment horizontal="left"/>
      <protection/>
    </xf>
    <xf numFmtId="0" fontId="19" fillId="0" borderId="0" xfId="58" applyFont="1" applyAlignment="1">
      <alignment horizontal="center"/>
      <protection/>
    </xf>
    <xf numFmtId="0" fontId="21" fillId="0" borderId="0" xfId="58" applyFont="1" applyFill="1" applyAlignment="1">
      <alignment horizontal="right"/>
      <protection/>
    </xf>
    <xf numFmtId="165" fontId="20" fillId="0" borderId="10" xfId="58" applyNumberFormat="1" applyFont="1" applyFill="1" applyBorder="1" applyAlignment="1">
      <alignment/>
      <protection/>
    </xf>
    <xf numFmtId="0" fontId="20" fillId="0" borderId="10" xfId="58" applyFont="1" applyFill="1" applyBorder="1" applyAlignment="1">
      <alignment horizontal="right"/>
      <protection/>
    </xf>
    <xf numFmtId="0" fontId="21" fillId="0" borderId="10" xfId="58" applyFont="1" applyFill="1" applyBorder="1">
      <alignment/>
      <protection/>
    </xf>
    <xf numFmtId="49" fontId="21" fillId="0" borderId="10" xfId="58" applyNumberFormat="1" applyFont="1" applyFill="1" applyBorder="1" applyAlignment="1">
      <alignment vertical="top" wrapText="1"/>
      <protection/>
    </xf>
    <xf numFmtId="0" fontId="20" fillId="0" borderId="10" xfId="58" applyFont="1" applyFill="1" applyBorder="1" applyAlignment="1">
      <alignment vertical="center"/>
      <protection/>
    </xf>
    <xf numFmtId="165" fontId="28" fillId="0" borderId="10" xfId="58" applyNumberFormat="1" applyFont="1" applyFill="1" applyBorder="1" applyAlignment="1">
      <alignment horizontal="right" vertical="top"/>
      <protection/>
    </xf>
    <xf numFmtId="49" fontId="28" fillId="0" borderId="10" xfId="58" applyNumberFormat="1" applyFont="1" applyFill="1" applyBorder="1" applyAlignment="1">
      <alignment horizontal="right" vertical="top"/>
      <protection/>
    </xf>
    <xf numFmtId="49" fontId="28" fillId="0" borderId="10" xfId="58" applyNumberFormat="1" applyFont="1" applyFill="1" applyBorder="1" applyAlignment="1">
      <alignment horizontal="center" vertical="top"/>
      <protection/>
    </xf>
    <xf numFmtId="49" fontId="67" fillId="0" borderId="10" xfId="58" applyNumberFormat="1" applyFont="1" applyBorder="1" applyAlignment="1">
      <alignment horizontal="justify" vertical="center" wrapText="1"/>
      <protection/>
    </xf>
    <xf numFmtId="0" fontId="28" fillId="0" borderId="10" xfId="58" applyFont="1" applyFill="1" applyBorder="1" applyAlignment="1">
      <alignment vertical="top" wrapText="1"/>
      <protection/>
    </xf>
    <xf numFmtId="49" fontId="29" fillId="0" borderId="10" xfId="58" applyNumberFormat="1" applyFont="1" applyFill="1" applyBorder="1" applyAlignment="1">
      <alignment horizontal="right" vertical="top" wrapText="1"/>
      <protection/>
    </xf>
    <xf numFmtId="49" fontId="29" fillId="0" borderId="10" xfId="58" applyNumberFormat="1" applyFont="1" applyFill="1" applyBorder="1" applyAlignment="1">
      <alignment vertical="top" wrapText="1"/>
      <protection/>
    </xf>
    <xf numFmtId="0" fontId="28" fillId="0" borderId="10" xfId="58" applyFont="1" applyFill="1" applyBorder="1" applyAlignment="1">
      <alignment horizontal="left" vertical="top" wrapText="1"/>
      <protection/>
    </xf>
    <xf numFmtId="0" fontId="29" fillId="0" borderId="10" xfId="58" applyFont="1" applyFill="1" applyBorder="1" applyAlignment="1">
      <alignment horizontal="center" vertical="top" wrapText="1"/>
      <protection/>
    </xf>
    <xf numFmtId="0" fontId="68" fillId="34" borderId="10" xfId="58" applyFont="1" applyFill="1" applyBorder="1" applyAlignment="1">
      <alignment horizontal="justify" vertical="top" wrapText="1"/>
      <protection/>
    </xf>
    <xf numFmtId="49" fontId="29" fillId="0" borderId="10" xfId="58" applyNumberFormat="1" applyFont="1" applyFill="1" applyBorder="1" applyAlignment="1">
      <alignment vertical="center" wrapText="1"/>
      <protection/>
    </xf>
    <xf numFmtId="49" fontId="67" fillId="0" borderId="10" xfId="58" applyNumberFormat="1" applyFont="1" applyBorder="1" applyAlignment="1">
      <alignment horizontal="right" vertical="top" wrapText="1"/>
      <protection/>
    </xf>
    <xf numFmtId="49" fontId="67" fillId="0" borderId="10" xfId="58" applyNumberFormat="1" applyFont="1" applyBorder="1" applyAlignment="1">
      <alignment horizontal="center" vertical="top" wrapText="1"/>
      <protection/>
    </xf>
    <xf numFmtId="2" fontId="30" fillId="0" borderId="10" xfId="58" applyNumberFormat="1" applyFont="1" applyFill="1" applyBorder="1" applyAlignment="1">
      <alignment horizontal="right" vertical="top"/>
      <protection/>
    </xf>
    <xf numFmtId="49" fontId="29" fillId="0" borderId="10" xfId="58" applyNumberFormat="1" applyFont="1" applyFill="1" applyBorder="1" applyAlignment="1">
      <alignment horizontal="center" vertical="top"/>
      <protection/>
    </xf>
    <xf numFmtId="165" fontId="21" fillId="0" borderId="10" xfId="58" applyNumberFormat="1" applyFont="1" applyFill="1" applyBorder="1" applyAlignment="1">
      <alignment horizontal="right" vertical="top"/>
      <protection/>
    </xf>
    <xf numFmtId="0" fontId="28" fillId="0" borderId="10" xfId="58" applyFont="1" applyFill="1" applyBorder="1" applyAlignment="1">
      <alignment horizontal="center" vertical="top"/>
      <protection/>
    </xf>
    <xf numFmtId="165" fontId="20" fillId="0" borderId="10" xfId="58" applyNumberFormat="1" applyFont="1" applyFill="1" applyBorder="1" applyAlignment="1">
      <alignment horizontal="right" vertical="top"/>
      <protection/>
    </xf>
    <xf numFmtId="49" fontId="20" fillId="0" borderId="10" xfId="58" applyNumberFormat="1" applyFont="1" applyFill="1" applyBorder="1" applyAlignment="1">
      <alignment horizontal="center" vertical="top"/>
      <protection/>
    </xf>
    <xf numFmtId="0" fontId="20" fillId="0" borderId="10" xfId="58" applyFont="1" applyFill="1" applyBorder="1" applyAlignment="1">
      <alignment vertical="top" wrapText="1"/>
      <protection/>
    </xf>
    <xf numFmtId="49" fontId="28" fillId="0" borderId="10" xfId="58" applyNumberFormat="1" applyFont="1" applyFill="1" applyBorder="1" applyAlignment="1">
      <alignment horizontal="right" vertical="top" shrinkToFit="1"/>
      <protection/>
    </xf>
    <xf numFmtId="49" fontId="28" fillId="0" borderId="10" xfId="58" applyNumberFormat="1" applyFont="1" applyFill="1" applyBorder="1" applyAlignment="1">
      <alignment horizontal="center" vertical="top" shrinkToFit="1"/>
      <protection/>
    </xf>
    <xf numFmtId="49" fontId="21" fillId="0" borderId="10" xfId="58" applyNumberFormat="1" applyFont="1" applyFill="1" applyBorder="1" applyAlignment="1">
      <alignment horizontal="right" vertical="top" shrinkToFit="1"/>
      <protection/>
    </xf>
    <xf numFmtId="0" fontId="28" fillId="0" borderId="10" xfId="62" applyFont="1" applyFill="1" applyBorder="1" applyAlignment="1">
      <alignment vertical="top" wrapText="1"/>
      <protection/>
    </xf>
    <xf numFmtId="0" fontId="29" fillId="0" borderId="10" xfId="58" applyFont="1" applyFill="1" applyBorder="1" applyAlignment="1">
      <alignment vertical="top" wrapText="1"/>
      <protection/>
    </xf>
    <xf numFmtId="0" fontId="28" fillId="0" borderId="10" xfId="58" applyFont="1" applyFill="1" applyBorder="1" applyAlignment="1">
      <alignment horizontal="center" vertical="top" wrapText="1"/>
      <protection/>
    </xf>
    <xf numFmtId="0" fontId="29" fillId="0" borderId="10" xfId="58" applyFont="1" applyFill="1" applyBorder="1" applyAlignment="1">
      <alignment wrapText="1"/>
      <protection/>
    </xf>
    <xf numFmtId="0" fontId="28" fillId="0" borderId="10" xfId="61" applyFont="1" applyFill="1" applyBorder="1" applyAlignment="1">
      <alignment vertical="top" wrapText="1"/>
      <protection/>
    </xf>
    <xf numFmtId="0" fontId="30" fillId="0" borderId="10" xfId="58" applyFont="1" applyFill="1" applyBorder="1" applyAlignment="1">
      <alignment vertical="center" wrapText="1"/>
      <protection/>
    </xf>
    <xf numFmtId="49" fontId="29" fillId="0" borderId="10" xfId="58" applyNumberFormat="1" applyFont="1" applyFill="1" applyBorder="1" applyAlignment="1">
      <alignment horizontal="right" vertical="top"/>
      <protection/>
    </xf>
    <xf numFmtId="0" fontId="28" fillId="0" borderId="10" xfId="56" applyFont="1" applyFill="1" applyBorder="1" applyAlignment="1">
      <alignment vertical="top" wrapText="1"/>
      <protection/>
    </xf>
    <xf numFmtId="0" fontId="26" fillId="0" borderId="15" xfId="58" applyFont="1" applyBorder="1" applyAlignment="1">
      <alignment vertical="top" wrapText="1"/>
      <protection/>
    </xf>
    <xf numFmtId="49" fontId="21" fillId="0" borderId="10" xfId="58" applyNumberFormat="1" applyFont="1" applyFill="1" applyBorder="1" applyAlignment="1">
      <alignment horizontal="right" vertical="top"/>
      <protection/>
    </xf>
    <xf numFmtId="49" fontId="21" fillId="0" borderId="10" xfId="58" applyNumberFormat="1" applyFont="1" applyFill="1" applyBorder="1" applyAlignment="1">
      <alignment horizontal="center" vertical="top"/>
      <protection/>
    </xf>
    <xf numFmtId="0" fontId="29" fillId="0" borderId="10" xfId="58" applyFont="1" applyFill="1" applyBorder="1" applyAlignment="1">
      <alignment horizontal="center" vertical="top"/>
      <protection/>
    </xf>
    <xf numFmtId="49" fontId="31" fillId="0" borderId="10" xfId="58" applyNumberFormat="1" applyFont="1" applyFill="1" applyBorder="1" applyAlignment="1">
      <alignment horizontal="center" vertical="top"/>
      <protection/>
    </xf>
    <xf numFmtId="0" fontId="31" fillId="0" borderId="10" xfId="58" applyFont="1" applyFill="1" applyBorder="1" applyAlignment="1">
      <alignment vertical="top" wrapText="1"/>
      <protection/>
    </xf>
    <xf numFmtId="0" fontId="28" fillId="0" borderId="10" xfId="59" applyFont="1" applyFill="1" applyBorder="1" applyAlignment="1">
      <alignment vertical="top" wrapText="1"/>
      <protection/>
    </xf>
    <xf numFmtId="165" fontId="68" fillId="0" borderId="10" xfId="58" applyNumberFormat="1" applyFont="1" applyFill="1" applyBorder="1" applyAlignment="1">
      <alignment horizontal="right" vertical="top"/>
      <protection/>
    </xf>
    <xf numFmtId="49" fontId="68" fillId="0" borderId="10" xfId="58" applyNumberFormat="1" applyFont="1" applyFill="1" applyBorder="1" applyAlignment="1">
      <alignment horizontal="right" vertical="top"/>
      <protection/>
    </xf>
    <xf numFmtId="49" fontId="68" fillId="0" borderId="10" xfId="58" applyNumberFormat="1" applyFont="1" applyFill="1" applyBorder="1" applyAlignment="1">
      <alignment horizontal="center" vertical="top"/>
      <protection/>
    </xf>
    <xf numFmtId="0" fontId="68" fillId="0" borderId="10" xfId="58" applyFont="1" applyFill="1" applyBorder="1" applyAlignment="1">
      <alignment vertical="top" wrapText="1"/>
      <protection/>
    </xf>
    <xf numFmtId="49" fontId="28" fillId="0" borderId="10" xfId="58" applyNumberFormat="1" applyFont="1" applyFill="1" applyBorder="1" applyAlignment="1">
      <alignment horizontal="left" vertical="top" wrapText="1"/>
      <protection/>
    </xf>
    <xf numFmtId="0" fontId="20" fillId="0" borderId="10" xfId="58" applyFont="1" applyFill="1" applyBorder="1" applyAlignment="1">
      <alignment vertical="center" wrapText="1"/>
      <protection/>
    </xf>
    <xf numFmtId="165" fontId="28" fillId="0" borderId="10" xfId="58" applyNumberFormat="1" applyFont="1" applyFill="1" applyBorder="1" applyAlignment="1">
      <alignment vertical="top"/>
      <protection/>
    </xf>
    <xf numFmtId="49" fontId="32" fillId="0" borderId="10" xfId="58" applyNumberFormat="1" applyFont="1" applyFill="1" applyBorder="1" applyAlignment="1">
      <alignment horizontal="right" vertical="top"/>
      <protection/>
    </xf>
    <xf numFmtId="49" fontId="32" fillId="0" borderId="10" xfId="58" applyNumberFormat="1" applyFont="1" applyFill="1" applyBorder="1" applyAlignment="1">
      <alignment horizontal="center" vertical="top"/>
      <protection/>
    </xf>
    <xf numFmtId="165" fontId="20" fillId="0" borderId="10" xfId="58" applyNumberFormat="1" applyFont="1" applyFill="1" applyBorder="1" applyAlignment="1">
      <alignment vertical="top"/>
      <protection/>
    </xf>
    <xf numFmtId="0" fontId="28" fillId="0" borderId="10" xfId="58" applyFont="1" applyFill="1" applyBorder="1" applyAlignment="1">
      <alignment wrapText="1"/>
      <protection/>
    </xf>
    <xf numFmtId="0" fontId="33" fillId="0" borderId="21" xfId="58" applyFont="1" applyFill="1" applyBorder="1" applyAlignment="1">
      <alignment vertical="center" wrapText="1"/>
      <protection/>
    </xf>
    <xf numFmtId="0" fontId="28" fillId="0" borderId="14" xfId="58" applyFont="1" applyFill="1" applyBorder="1" applyAlignment="1">
      <alignment horizontal="left" vertical="center" wrapText="1"/>
      <protection/>
    </xf>
    <xf numFmtId="0" fontId="28" fillId="0" borderId="10" xfId="52" applyFont="1" applyFill="1" applyBorder="1" applyAlignment="1">
      <alignment vertical="top" wrapText="1"/>
      <protection/>
    </xf>
    <xf numFmtId="0" fontId="28" fillId="0" borderId="10" xfId="58" applyNumberFormat="1" applyFont="1" applyFill="1" applyBorder="1" applyAlignment="1">
      <alignment wrapText="1"/>
      <protection/>
    </xf>
    <xf numFmtId="0" fontId="28" fillId="0" borderId="10" xfId="58" applyFont="1" applyFill="1" applyBorder="1" applyAlignment="1">
      <alignment horizontal="left" vertical="center" wrapText="1"/>
      <protection/>
    </xf>
    <xf numFmtId="0" fontId="33" fillId="0" borderId="13" xfId="58" applyFont="1" applyFill="1" applyBorder="1" applyAlignment="1">
      <alignment vertical="center" wrapText="1"/>
      <protection/>
    </xf>
    <xf numFmtId="0" fontId="28" fillId="0" borderId="10" xfId="53" applyFont="1" applyFill="1" applyBorder="1" applyAlignment="1">
      <alignment vertical="top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top" wrapText="1"/>
      <protection/>
    </xf>
    <xf numFmtId="0" fontId="20" fillId="0" borderId="10" xfId="58" applyFont="1" applyFill="1" applyBorder="1" applyAlignment="1">
      <alignment horizontal="right" vertical="top" wrapText="1"/>
      <protection/>
    </xf>
    <xf numFmtId="0" fontId="20" fillId="0" borderId="0" xfId="58" applyFont="1" applyFill="1" applyAlignment="1">
      <alignment horizontal="center"/>
      <protection/>
    </xf>
    <xf numFmtId="0" fontId="34" fillId="0" borderId="0" xfId="58" applyFont="1" applyFill="1" applyAlignment="1">
      <alignment horizontal="center"/>
      <protection/>
    </xf>
    <xf numFmtId="0" fontId="21" fillId="0" borderId="0" xfId="58" applyFont="1" applyFill="1" applyAlignment="1">
      <alignment horizontal="left" wrapText="1" indent="3"/>
      <protection/>
    </xf>
    <xf numFmtId="0" fontId="20" fillId="0" borderId="0" xfId="58" applyFont="1" applyFill="1" applyAlignment="1">
      <alignment horizontal="left" indent="3"/>
      <protection/>
    </xf>
    <xf numFmtId="0" fontId="21" fillId="0" borderId="0" xfId="58" applyFont="1" applyFill="1" applyAlignment="1">
      <alignment horizontal="center"/>
      <protection/>
    </xf>
    <xf numFmtId="0" fontId="19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65" fontId="23" fillId="0" borderId="10" xfId="58" applyNumberFormat="1" applyFont="1" applyFill="1" applyBorder="1" applyAlignment="1">
      <alignment horizontal="right" vertical="center"/>
      <protection/>
    </xf>
    <xf numFmtId="49" fontId="25" fillId="0" borderId="10" xfId="58" applyNumberFormat="1" applyFont="1" applyBorder="1" applyAlignment="1">
      <alignment wrapText="1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0" fontId="23" fillId="0" borderId="17" xfId="58" applyFont="1" applyFill="1" applyBorder="1" applyAlignment="1">
      <alignment vertical="center" wrapText="1"/>
      <protection/>
    </xf>
    <xf numFmtId="49" fontId="21" fillId="0" borderId="21" xfId="58" applyNumberFormat="1" applyFont="1" applyFill="1" applyBorder="1" applyAlignment="1">
      <alignment horizontal="center" vertical="center"/>
      <protection/>
    </xf>
    <xf numFmtId="0" fontId="20" fillId="0" borderId="0" xfId="58" applyFont="1" applyAlignment="1">
      <alignment horizontal="center" vertical="top" wrapText="1"/>
      <protection/>
    </xf>
    <xf numFmtId="0" fontId="21" fillId="0" borderId="0" xfId="58" applyFont="1" applyFill="1" applyAlignment="1">
      <alignment horizontal="left" wrapText="1"/>
      <protection/>
    </xf>
    <xf numFmtId="0" fontId="27" fillId="0" borderId="0" xfId="58" applyFont="1" applyFill="1" applyAlignment="1">
      <alignment horizontal="left"/>
      <protection/>
    </xf>
    <xf numFmtId="0" fontId="28" fillId="34" borderId="10" xfId="58" applyFont="1" applyFill="1" applyBorder="1" applyAlignment="1">
      <alignment horizontal="left" vertical="top" wrapText="1"/>
      <protection/>
    </xf>
    <xf numFmtId="0" fontId="68" fillId="0" borderId="10" xfId="58" applyFont="1" applyFill="1" applyBorder="1" applyAlignment="1">
      <alignment horizontal="justify" vertical="top" wrapText="1"/>
      <protection/>
    </xf>
    <xf numFmtId="49" fontId="24" fillId="0" borderId="10" xfId="58" applyNumberFormat="1" applyFont="1" applyFill="1" applyBorder="1" applyAlignment="1">
      <alignment horizontal="right" vertical="top" wrapText="1"/>
      <protection/>
    </xf>
    <xf numFmtId="165" fontId="21" fillId="0" borderId="10" xfId="58" applyNumberFormat="1" applyFont="1" applyFill="1" applyBorder="1" applyAlignment="1">
      <alignment vertical="top"/>
      <protection/>
    </xf>
    <xf numFmtId="2" fontId="28" fillId="0" borderId="10" xfId="58" applyNumberFormat="1" applyFont="1" applyFill="1" applyBorder="1" applyAlignment="1">
      <alignment vertical="top"/>
      <protection/>
    </xf>
    <xf numFmtId="165" fontId="28" fillId="0" borderId="10" xfId="58" applyNumberFormat="1" applyFont="1" applyFill="1" applyBorder="1">
      <alignment/>
      <protection/>
    </xf>
    <xf numFmtId="0" fontId="28" fillId="0" borderId="10" xfId="58" applyFont="1" applyFill="1" applyBorder="1" applyAlignment="1">
      <alignment vertical="top"/>
      <protection/>
    </xf>
    <xf numFmtId="165" fontId="28" fillId="0" borderId="10" xfId="58" applyNumberFormat="1" applyFont="1" applyFill="1" applyBorder="1" applyAlignment="1">
      <alignment/>
      <protection/>
    </xf>
    <xf numFmtId="165" fontId="28" fillId="0" borderId="10" xfId="58" applyNumberFormat="1" applyFont="1" applyFill="1" applyBorder="1" applyAlignment="1">
      <alignment horizontal="right"/>
      <protection/>
    </xf>
    <xf numFmtId="49" fontId="28" fillId="0" borderId="10" xfId="58" applyNumberFormat="1" applyFont="1" applyFill="1" applyBorder="1" applyAlignment="1">
      <alignment horizontal="right"/>
      <protection/>
    </xf>
    <xf numFmtId="49" fontId="29" fillId="0" borderId="10" xfId="58" applyNumberFormat="1" applyFont="1" applyBorder="1" applyAlignment="1">
      <alignment horizontal="center" wrapText="1"/>
      <protection/>
    </xf>
    <xf numFmtId="49" fontId="29" fillId="0" borderId="10" xfId="58" applyNumberFormat="1" applyFont="1" applyBorder="1" applyAlignment="1">
      <alignment wrapText="1"/>
      <protection/>
    </xf>
    <xf numFmtId="49" fontId="28" fillId="0" borderId="10" xfId="58" applyNumberFormat="1" applyFont="1" applyFill="1" applyBorder="1" applyAlignment="1">
      <alignment horizontal="center"/>
      <protection/>
    </xf>
    <xf numFmtId="49" fontId="35" fillId="0" borderId="10" xfId="58" applyNumberFormat="1" applyFont="1" applyBorder="1" applyAlignment="1">
      <alignment horizontal="center" wrapText="1"/>
      <protection/>
    </xf>
    <xf numFmtId="0" fontId="21" fillId="0" borderId="10" xfId="58" applyFont="1" applyFill="1" applyBorder="1" applyAlignment="1">
      <alignment vertical="top"/>
      <protection/>
    </xf>
    <xf numFmtId="0" fontId="28" fillId="0" borderId="10" xfId="58" applyFont="1" applyFill="1" applyBorder="1">
      <alignment/>
      <protection/>
    </xf>
    <xf numFmtId="0" fontId="21" fillId="0" borderId="10" xfId="58" applyFont="1" applyFill="1" applyBorder="1" applyAlignment="1">
      <alignment horizontal="center"/>
      <protection/>
    </xf>
    <xf numFmtId="0" fontId="18" fillId="0" borderId="0" xfId="58" applyAlignment="1">
      <alignment vertical="top"/>
      <protection/>
    </xf>
    <xf numFmtId="0" fontId="19" fillId="0" borderId="0" xfId="58" applyFont="1" applyAlignment="1">
      <alignment vertical="top"/>
      <protection/>
    </xf>
    <xf numFmtId="164" fontId="19" fillId="0" borderId="0" xfId="58" applyNumberFormat="1" applyFont="1" applyAlignment="1">
      <alignment vertical="top"/>
      <protection/>
    </xf>
    <xf numFmtId="165" fontId="36" fillId="0" borderId="0" xfId="58" applyNumberFormat="1" applyFont="1" applyAlignment="1">
      <alignment vertical="top"/>
      <protection/>
    </xf>
    <xf numFmtId="164" fontId="36" fillId="0" borderId="10" xfId="58" applyNumberFormat="1" applyFont="1" applyBorder="1" applyAlignment="1">
      <alignment vertical="top"/>
      <protection/>
    </xf>
    <xf numFmtId="0" fontId="36" fillId="0" borderId="11" xfId="58" applyFont="1" applyBorder="1" applyAlignment="1">
      <alignment horizontal="left" vertical="top" wrapText="1"/>
      <protection/>
    </xf>
    <xf numFmtId="0" fontId="36" fillId="0" borderId="24" xfId="58" applyFont="1" applyBorder="1" applyAlignment="1">
      <alignment horizontal="left" vertical="top" wrapText="1"/>
      <protection/>
    </xf>
    <xf numFmtId="0" fontId="36" fillId="0" borderId="12" xfId="58" applyFont="1" applyBorder="1" applyAlignment="1">
      <alignment horizontal="left" vertical="top" wrapText="1"/>
      <protection/>
    </xf>
    <xf numFmtId="165" fontId="19" fillId="0" borderId="0" xfId="58" applyNumberFormat="1" applyFont="1" applyAlignment="1">
      <alignment vertical="top"/>
      <protection/>
    </xf>
    <xf numFmtId="165" fontId="19" fillId="0" borderId="10" xfId="58" applyNumberFormat="1" applyFont="1" applyBorder="1" applyAlignment="1">
      <alignment vertical="top"/>
      <protection/>
    </xf>
    <xf numFmtId="0" fontId="18" fillId="0" borderId="11" xfId="58" applyFont="1" applyBorder="1" applyAlignment="1">
      <alignment horizontal="left" vertical="top" wrapText="1"/>
      <protection/>
    </xf>
    <xf numFmtId="0" fontId="18" fillId="0" borderId="24" xfId="58" applyFont="1" applyBorder="1" applyAlignment="1">
      <alignment horizontal="left" vertical="top" wrapText="1"/>
      <protection/>
    </xf>
    <xf numFmtId="0" fontId="19" fillId="0" borderId="12" xfId="58" applyFont="1" applyFill="1" applyBorder="1" applyAlignment="1">
      <alignment horizontal="left" vertical="top" wrapText="1"/>
      <protection/>
    </xf>
    <xf numFmtId="49" fontId="37" fillId="0" borderId="10" xfId="58" applyNumberFormat="1" applyFont="1" applyFill="1" applyBorder="1" applyAlignment="1">
      <alignment horizontal="right" vertical="top"/>
      <protection/>
    </xf>
    <xf numFmtId="0" fontId="38" fillId="0" borderId="11" xfId="58" applyFont="1" applyBorder="1" applyAlignment="1">
      <alignment horizontal="center" vertical="top" wrapText="1"/>
      <protection/>
    </xf>
    <xf numFmtId="0" fontId="38" fillId="0" borderId="24" xfId="58" applyFont="1" applyBorder="1" applyAlignment="1">
      <alignment horizontal="center" vertical="top" wrapText="1"/>
      <protection/>
    </xf>
    <xf numFmtId="0" fontId="36" fillId="0" borderId="12" xfId="58" applyFont="1" applyFill="1" applyBorder="1" applyAlignment="1">
      <alignment horizontal="center" vertical="top" wrapText="1"/>
      <protection/>
    </xf>
    <xf numFmtId="49" fontId="39" fillId="0" borderId="10" xfId="58" applyNumberFormat="1" applyFont="1" applyFill="1" applyBorder="1" applyAlignment="1">
      <alignment horizontal="right" vertical="top"/>
      <protection/>
    </xf>
    <xf numFmtId="0" fontId="18" fillId="0" borderId="11" xfId="58" applyBorder="1" applyAlignment="1">
      <alignment horizontal="left" vertical="top" wrapText="1"/>
      <protection/>
    </xf>
    <xf numFmtId="0" fontId="18" fillId="0" borderId="24" xfId="58" applyBorder="1" applyAlignment="1">
      <alignment horizontal="left" vertical="top" wrapText="1"/>
      <protection/>
    </xf>
    <xf numFmtId="165" fontId="36" fillId="0" borderId="0" xfId="58" applyNumberFormat="1" applyFont="1" applyBorder="1" applyAlignment="1">
      <alignment vertical="top"/>
      <protection/>
    </xf>
    <xf numFmtId="165" fontId="36" fillId="0" borderId="10" xfId="58" applyNumberFormat="1" applyFont="1" applyBorder="1" applyAlignment="1">
      <alignment vertical="top"/>
      <protection/>
    </xf>
    <xf numFmtId="0" fontId="19" fillId="0" borderId="12" xfId="58" applyNumberFormat="1" applyFont="1" applyFill="1" applyBorder="1" applyAlignment="1">
      <alignment horizontal="left" vertical="top" wrapText="1"/>
      <protection/>
    </xf>
    <xf numFmtId="0" fontId="18" fillId="0" borderId="11" xfId="58" applyFill="1" applyBorder="1" applyAlignment="1">
      <alignment horizontal="left" vertical="top" wrapText="1"/>
      <protection/>
    </xf>
    <xf numFmtId="0" fontId="18" fillId="0" borderId="24" xfId="58" applyFill="1" applyBorder="1" applyAlignment="1">
      <alignment horizontal="left" vertical="top" wrapText="1"/>
      <protection/>
    </xf>
    <xf numFmtId="0" fontId="18" fillId="0" borderId="11" xfId="58" applyFont="1" applyFill="1" applyBorder="1" applyAlignment="1">
      <alignment horizontal="left" vertical="center" wrapText="1"/>
      <protection/>
    </xf>
    <xf numFmtId="0" fontId="18" fillId="0" borderId="24" xfId="58" applyFont="1" applyFill="1" applyBorder="1" applyAlignment="1">
      <alignment horizontal="left" vertical="center" wrapText="1"/>
      <protection/>
    </xf>
    <xf numFmtId="0" fontId="19" fillId="0" borderId="12" xfId="58" applyFont="1" applyFill="1" applyBorder="1" applyAlignment="1">
      <alignment horizontal="left" vertical="center" wrapText="1"/>
      <protection/>
    </xf>
    <xf numFmtId="0" fontId="38" fillId="0" borderId="11" xfId="58" applyFont="1" applyFill="1" applyBorder="1" applyAlignment="1">
      <alignment horizontal="center" vertical="center" wrapText="1"/>
      <protection/>
    </xf>
    <xf numFmtId="0" fontId="38" fillId="0" borderId="24" xfId="58" applyFont="1" applyFill="1" applyBorder="1" applyAlignment="1">
      <alignment horizontal="center" vertical="center" wrapText="1"/>
      <protection/>
    </xf>
    <xf numFmtId="0" fontId="36" fillId="0" borderId="12" xfId="58" applyFont="1" applyFill="1" applyBorder="1" applyAlignment="1">
      <alignment horizontal="center" vertical="center" wrapText="1"/>
      <protection/>
    </xf>
    <xf numFmtId="0" fontId="19" fillId="0" borderId="11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18" fillId="0" borderId="11" xfId="58" applyBorder="1" applyAlignment="1">
      <alignment horizontal="left" vertical="center" wrapText="1"/>
      <protection/>
    </xf>
    <xf numFmtId="0" fontId="18" fillId="0" borderId="24" xfId="58" applyBorder="1" applyAlignment="1">
      <alignment horizontal="left" vertical="center" wrapText="1"/>
      <protection/>
    </xf>
    <xf numFmtId="165" fontId="19" fillId="0" borderId="10" xfId="58" applyNumberFormat="1" applyFont="1" applyFill="1" applyBorder="1" applyAlignment="1">
      <alignment vertical="top"/>
      <protection/>
    </xf>
    <xf numFmtId="0" fontId="18" fillId="0" borderId="11" xfId="58" applyFill="1" applyBorder="1" applyAlignment="1">
      <alignment horizontal="left" vertical="center" wrapText="1"/>
      <protection/>
    </xf>
    <xf numFmtId="0" fontId="18" fillId="0" borderId="24" xfId="58" applyFill="1" applyBorder="1" applyAlignment="1">
      <alignment horizontal="left" vertical="center" wrapText="1"/>
      <protection/>
    </xf>
    <xf numFmtId="0" fontId="38" fillId="0" borderId="11" xfId="58" applyFont="1" applyFill="1" applyBorder="1" applyAlignment="1">
      <alignment horizontal="left" vertical="center" wrapText="1"/>
      <protection/>
    </xf>
    <xf numFmtId="0" fontId="38" fillId="0" borderId="24" xfId="58" applyFont="1" applyFill="1" applyBorder="1" applyAlignment="1">
      <alignment horizontal="left" vertical="center" wrapText="1"/>
      <protection/>
    </xf>
    <xf numFmtId="0" fontId="36" fillId="0" borderId="12" xfId="58" applyFont="1" applyFill="1" applyBorder="1" applyAlignment="1">
      <alignment horizontal="left" vertical="center" wrapText="1"/>
      <protection/>
    </xf>
    <xf numFmtId="0" fontId="19" fillId="0" borderId="11" xfId="58" applyFont="1" applyBorder="1" applyAlignment="1">
      <alignment horizontal="left" vertical="top" wrapText="1"/>
      <protection/>
    </xf>
    <xf numFmtId="0" fontId="19" fillId="0" borderId="24" xfId="58" applyFont="1" applyBorder="1" applyAlignment="1">
      <alignment horizontal="left" vertical="top" wrapText="1"/>
      <protection/>
    </xf>
    <xf numFmtId="0" fontId="19" fillId="0" borderId="12" xfId="58" applyFont="1" applyBorder="1" applyAlignment="1">
      <alignment horizontal="left" vertical="top" wrapText="1"/>
      <protection/>
    </xf>
    <xf numFmtId="165" fontId="36" fillId="0" borderId="0" xfId="58" applyNumberFormat="1" applyFont="1" applyFill="1" applyBorder="1" applyAlignment="1">
      <alignment vertical="top"/>
      <protection/>
    </xf>
    <xf numFmtId="165" fontId="36" fillId="0" borderId="10" xfId="58" applyNumberFormat="1" applyFont="1" applyFill="1" applyBorder="1" applyAlignment="1">
      <alignment vertical="top"/>
      <protection/>
    </xf>
    <xf numFmtId="0" fontId="36" fillId="0" borderId="10" xfId="58" applyFont="1" applyFill="1" applyBorder="1" applyAlignment="1">
      <alignment vertical="top" wrapText="1"/>
      <protection/>
    </xf>
    <xf numFmtId="0" fontId="36" fillId="0" borderId="11" xfId="58" applyFont="1" applyBorder="1" applyAlignment="1">
      <alignment vertical="top" wrapText="1"/>
      <protection/>
    </xf>
    <xf numFmtId="0" fontId="36" fillId="0" borderId="24" xfId="58" applyFont="1" applyBorder="1" applyAlignment="1">
      <alignment vertical="top" wrapText="1"/>
      <protection/>
    </xf>
    <xf numFmtId="0" fontId="36" fillId="0" borderId="12" xfId="58" applyFont="1" applyBorder="1" applyAlignment="1">
      <alignment vertical="top" wrapText="1"/>
      <protection/>
    </xf>
    <xf numFmtId="49" fontId="39" fillId="0" borderId="10" xfId="58" applyNumberFormat="1" applyFont="1" applyBorder="1" applyAlignment="1">
      <alignment horizontal="right" vertical="top"/>
      <protection/>
    </xf>
    <xf numFmtId="49" fontId="37" fillId="0" borderId="10" xfId="58" applyNumberFormat="1" applyFont="1" applyBorder="1" applyAlignment="1">
      <alignment horizontal="right" vertical="top"/>
      <protection/>
    </xf>
    <xf numFmtId="0" fontId="40" fillId="0" borderId="11" xfId="58" applyFont="1" applyBorder="1" applyAlignment="1">
      <alignment horizontal="left" vertical="top" wrapText="1"/>
      <protection/>
    </xf>
    <xf numFmtId="0" fontId="40" fillId="0" borderId="24" xfId="58" applyFont="1" applyBorder="1" applyAlignment="1">
      <alignment horizontal="left" vertical="top" wrapText="1"/>
      <protection/>
    </xf>
    <xf numFmtId="0" fontId="40" fillId="0" borderId="12" xfId="58" applyFont="1" applyBorder="1" applyAlignment="1">
      <alignment horizontal="left" vertical="top" wrapText="1"/>
      <protection/>
    </xf>
    <xf numFmtId="165" fontId="19" fillId="0" borderId="10" xfId="58" applyNumberFormat="1" applyFont="1" applyBorder="1" applyAlignment="1">
      <alignment horizontal="right" vertical="top"/>
      <protection/>
    </xf>
    <xf numFmtId="0" fontId="19" fillId="0" borderId="11" xfId="58" applyFont="1" applyFill="1" applyBorder="1" applyAlignment="1">
      <alignment horizontal="left" vertical="top" wrapText="1"/>
      <protection/>
    </xf>
    <xf numFmtId="0" fontId="19" fillId="0" borderId="24" xfId="58" applyFont="1" applyFill="1" applyBorder="1" applyAlignment="1">
      <alignment horizontal="left" vertical="top" wrapText="1"/>
      <protection/>
    </xf>
    <xf numFmtId="0" fontId="40" fillId="0" borderId="11" xfId="58" applyFont="1" applyBorder="1" applyAlignment="1">
      <alignment vertical="top" wrapText="1"/>
      <protection/>
    </xf>
    <xf numFmtId="0" fontId="40" fillId="0" borderId="24" xfId="58" applyFont="1" applyBorder="1" applyAlignment="1">
      <alignment vertical="top" wrapText="1"/>
      <protection/>
    </xf>
    <xf numFmtId="0" fontId="40" fillId="0" borderId="12" xfId="58" applyFont="1" applyBorder="1" applyAlignment="1">
      <alignment vertical="top" wrapText="1"/>
      <protection/>
    </xf>
    <xf numFmtId="165" fontId="40" fillId="0" borderId="0" xfId="58" applyNumberFormat="1" applyFont="1" applyFill="1" applyBorder="1" applyAlignment="1">
      <alignment vertical="top"/>
      <protection/>
    </xf>
    <xf numFmtId="165" fontId="40" fillId="0" borderId="10" xfId="58" applyNumberFormat="1" applyFont="1" applyFill="1" applyBorder="1" applyAlignment="1">
      <alignment vertical="top"/>
      <protection/>
    </xf>
    <xf numFmtId="165" fontId="30" fillId="0" borderId="10" xfId="58" applyNumberFormat="1" applyFont="1" applyFill="1" applyBorder="1" applyAlignment="1">
      <alignment vertical="top"/>
      <protection/>
    </xf>
    <xf numFmtId="0" fontId="40" fillId="0" borderId="11" xfId="58" applyFont="1" applyFill="1" applyBorder="1" applyAlignment="1">
      <alignment horizontal="left" vertical="top" wrapText="1"/>
      <protection/>
    </xf>
    <xf numFmtId="0" fontId="40" fillId="0" borderId="24" xfId="58" applyFont="1" applyFill="1" applyBorder="1" applyAlignment="1">
      <alignment horizontal="left" vertical="top" wrapText="1"/>
      <protection/>
    </xf>
    <xf numFmtId="0" fontId="40" fillId="0" borderId="12" xfId="58" applyFont="1" applyFill="1" applyBorder="1" applyAlignment="1">
      <alignment horizontal="left" vertical="top" wrapText="1"/>
      <protection/>
    </xf>
    <xf numFmtId="0" fontId="19" fillId="0" borderId="11" xfId="58" applyFont="1" applyFill="1" applyBorder="1" applyAlignment="1">
      <alignment vertical="top" wrapText="1"/>
      <protection/>
    </xf>
    <xf numFmtId="0" fontId="19" fillId="0" borderId="24" xfId="58" applyFont="1" applyFill="1" applyBorder="1" applyAlignment="1">
      <alignment vertical="top" wrapText="1"/>
      <protection/>
    </xf>
    <xf numFmtId="0" fontId="19" fillId="0" borderId="12" xfId="58" applyFont="1" applyFill="1" applyBorder="1" applyAlignment="1">
      <alignment vertical="top" wrapText="1"/>
      <protection/>
    </xf>
    <xf numFmtId="165" fontId="36" fillId="0" borderId="0" xfId="58" applyNumberFormat="1" applyFont="1" applyBorder="1" applyAlignment="1">
      <alignment vertical="top" wrapText="1"/>
      <protection/>
    </xf>
    <xf numFmtId="165" fontId="36" fillId="0" borderId="10" xfId="58" applyNumberFormat="1" applyFont="1" applyBorder="1" applyAlignment="1">
      <alignment vertical="top" wrapText="1"/>
      <protection/>
    </xf>
    <xf numFmtId="0" fontId="18" fillId="0" borderId="0" xfId="58" applyBorder="1" applyAlignment="1">
      <alignment vertical="top"/>
      <protection/>
    </xf>
    <xf numFmtId="0" fontId="19" fillId="0" borderId="0" xfId="58" applyFont="1" applyBorder="1" applyAlignment="1">
      <alignment vertical="top"/>
      <protection/>
    </xf>
    <xf numFmtId="165" fontId="36" fillId="0" borderId="0" xfId="58" applyNumberFormat="1" applyFont="1" applyFill="1" applyBorder="1" applyAlignment="1">
      <alignment horizontal="right" vertical="top"/>
      <protection/>
    </xf>
    <xf numFmtId="165" fontId="36" fillId="0" borderId="10" xfId="58" applyNumberFormat="1" applyFont="1" applyFill="1" applyBorder="1" applyAlignment="1">
      <alignment horizontal="right" vertical="top"/>
      <protection/>
    </xf>
    <xf numFmtId="0" fontId="19" fillId="34" borderId="11" xfId="58" applyFont="1" applyFill="1" applyBorder="1" applyAlignment="1">
      <alignment horizontal="left" vertical="top" wrapText="1"/>
      <protection/>
    </xf>
    <xf numFmtId="0" fontId="19" fillId="34" borderId="24" xfId="58" applyFont="1" applyFill="1" applyBorder="1" applyAlignment="1">
      <alignment horizontal="left" vertical="top" wrapText="1"/>
      <protection/>
    </xf>
    <xf numFmtId="0" fontId="19" fillId="34" borderId="12" xfId="58" applyFont="1" applyFill="1" applyBorder="1" applyAlignment="1">
      <alignment horizontal="left" vertical="top" wrapText="1"/>
      <protection/>
    </xf>
    <xf numFmtId="49" fontId="41" fillId="0" borderId="10" xfId="58" applyNumberFormat="1" applyFont="1" applyBorder="1" applyAlignment="1">
      <alignment horizontal="left" vertical="top" wrapText="1"/>
      <protection/>
    </xf>
    <xf numFmtId="165" fontId="19" fillId="34" borderId="10" xfId="58" applyNumberFormat="1" applyFont="1" applyFill="1" applyBorder="1" applyAlignment="1">
      <alignment vertical="top"/>
      <protection/>
    </xf>
    <xf numFmtId="0" fontId="19" fillId="0" borderId="11" xfId="58" applyFont="1" applyBorder="1" applyAlignment="1">
      <alignment vertical="top" wrapText="1"/>
      <protection/>
    </xf>
    <xf numFmtId="0" fontId="19" fillId="0" borderId="24" xfId="58" applyFont="1" applyBorder="1" applyAlignment="1">
      <alignment vertical="top" wrapText="1"/>
      <protection/>
    </xf>
    <xf numFmtId="0" fontId="19" fillId="0" borderId="12" xfId="58" applyFont="1" applyBorder="1" applyAlignment="1">
      <alignment vertical="top" wrapText="1"/>
      <protection/>
    </xf>
    <xf numFmtId="0" fontId="18" fillId="0" borderId="11" xfId="58" applyBorder="1" applyAlignment="1">
      <alignment vertical="top" wrapText="1"/>
      <protection/>
    </xf>
    <xf numFmtId="0" fontId="18" fillId="0" borderId="24" xfId="58" applyBorder="1" applyAlignment="1">
      <alignment vertical="top" wrapText="1"/>
      <protection/>
    </xf>
    <xf numFmtId="0" fontId="19" fillId="0" borderId="12" xfId="58" applyNumberFormat="1" applyFont="1" applyBorder="1" applyAlignment="1">
      <alignment vertical="top" wrapText="1"/>
      <protection/>
    </xf>
    <xf numFmtId="0" fontId="42" fillId="0" borderId="0" xfId="58" applyFont="1" applyAlignment="1">
      <alignment vertical="top"/>
      <protection/>
    </xf>
    <xf numFmtId="0" fontId="19" fillId="0" borderId="10" xfId="58" applyFont="1" applyBorder="1" applyAlignment="1">
      <alignment horizontal="center" vertical="top"/>
      <protection/>
    </xf>
    <xf numFmtId="0" fontId="19" fillId="0" borderId="11" xfId="58" applyFont="1" applyBorder="1" applyAlignment="1">
      <alignment horizontal="center" vertical="top"/>
      <protection/>
    </xf>
    <xf numFmtId="0" fontId="19" fillId="0" borderId="24" xfId="58" applyFont="1" applyBorder="1" applyAlignment="1">
      <alignment horizontal="center" vertical="top"/>
      <protection/>
    </xf>
    <xf numFmtId="0" fontId="19" fillId="0" borderId="12" xfId="58" applyFont="1" applyBorder="1" applyAlignment="1">
      <alignment horizontal="center" vertical="top"/>
      <protection/>
    </xf>
    <xf numFmtId="0" fontId="43" fillId="0" borderId="10" xfId="58" applyFont="1" applyBorder="1" applyAlignment="1">
      <alignment horizontal="center" vertical="top" wrapText="1"/>
      <protection/>
    </xf>
    <xf numFmtId="0" fontId="43" fillId="0" borderId="11" xfId="58" applyFont="1" applyBorder="1" applyAlignment="1">
      <alignment horizontal="center" vertical="top" wrapText="1"/>
      <protection/>
    </xf>
    <xf numFmtId="0" fontId="43" fillId="0" borderId="24" xfId="58" applyFont="1" applyBorder="1" applyAlignment="1">
      <alignment horizontal="center" vertical="top" wrapText="1"/>
      <protection/>
    </xf>
    <xf numFmtId="0" fontId="43" fillId="0" borderId="12" xfId="58" applyFont="1" applyBorder="1" applyAlignment="1">
      <alignment horizontal="center" vertical="top" wrapText="1"/>
      <protection/>
    </xf>
    <xf numFmtId="10" fontId="19" fillId="0" borderId="0" xfId="58" applyNumberFormat="1" applyFont="1" applyAlignment="1">
      <alignment horizontal="center" vertical="top"/>
      <protection/>
    </xf>
    <xf numFmtId="0" fontId="36" fillId="0" borderId="0" xfId="58" applyFont="1" applyAlignment="1">
      <alignment horizontal="center" vertical="top"/>
      <protection/>
    </xf>
    <xf numFmtId="0" fontId="22" fillId="0" borderId="0" xfId="58" applyFont="1" applyAlignment="1">
      <alignment horizontal="center" vertical="top"/>
      <protection/>
    </xf>
    <xf numFmtId="0" fontId="18" fillId="0" borderId="0" xfId="58" applyAlignment="1">
      <alignment vertical="top" wrapText="1"/>
      <protection/>
    </xf>
    <xf numFmtId="0" fontId="22" fillId="0" borderId="0" xfId="58" applyFont="1" applyAlignment="1">
      <alignment horizontal="center" vertical="top" wrapText="1"/>
      <protection/>
    </xf>
    <xf numFmtId="0" fontId="19" fillId="0" borderId="0" xfId="58" applyNumberFormat="1" applyFont="1" applyAlignment="1">
      <alignment horizontal="center" vertical="top" wrapText="1"/>
      <protection/>
    </xf>
    <xf numFmtId="0" fontId="18" fillId="0" borderId="0" xfId="58" applyAlignment="1">
      <alignment horizontal="left" vertical="top" wrapText="1"/>
      <protection/>
    </xf>
    <xf numFmtId="0" fontId="19" fillId="0" borderId="0" xfId="58" applyNumberFormat="1" applyFont="1" applyAlignment="1">
      <alignment horizontal="left" vertical="top" wrapText="1"/>
      <protection/>
    </xf>
    <xf numFmtId="0" fontId="18" fillId="0" borderId="0" xfId="58" applyAlignment="1">
      <alignment horizontal="left" vertical="center" wrapText="1" indent="11"/>
      <protection/>
    </xf>
    <xf numFmtId="0" fontId="19" fillId="0" borderId="0" xfId="58" applyNumberFormat="1" applyFont="1" applyAlignment="1">
      <alignment horizontal="left" vertical="center" wrapText="1" indent="11"/>
      <protection/>
    </xf>
    <xf numFmtId="0" fontId="22" fillId="0" borderId="0" xfId="58" applyNumberFormat="1" applyFont="1" applyAlignment="1">
      <alignment horizontal="left" vertical="center" wrapText="1" indent="11"/>
      <protection/>
    </xf>
    <xf numFmtId="0" fontId="22" fillId="0" borderId="0" xfId="58" applyNumberFormat="1" applyFont="1" applyAlignment="1">
      <alignment horizontal="center" vertical="top" wrapText="1"/>
      <protection/>
    </xf>
    <xf numFmtId="165" fontId="18" fillId="0" borderId="0" xfId="58" applyNumberFormat="1" applyAlignment="1">
      <alignment vertical="top"/>
      <protection/>
    </xf>
    <xf numFmtId="0" fontId="19" fillId="0" borderId="11" xfId="58" applyFont="1" applyBorder="1" applyAlignment="1">
      <alignment horizontal="left" wrapText="1"/>
      <protection/>
    </xf>
    <xf numFmtId="0" fontId="19" fillId="0" borderId="24" xfId="58" applyFont="1" applyBorder="1" applyAlignment="1">
      <alignment horizontal="left" wrapText="1"/>
      <protection/>
    </xf>
    <xf numFmtId="0" fontId="19" fillId="0" borderId="12" xfId="58" applyFont="1" applyBorder="1" applyAlignment="1">
      <alignment horizontal="left" wrapText="1"/>
      <protection/>
    </xf>
    <xf numFmtId="0" fontId="30" fillId="0" borderId="11" xfId="58" applyFont="1" applyBorder="1" applyAlignment="1">
      <alignment horizontal="left" vertical="top" wrapText="1"/>
      <protection/>
    </xf>
    <xf numFmtId="0" fontId="30" fillId="0" borderId="24" xfId="58" applyFont="1" applyBorder="1" applyAlignment="1">
      <alignment horizontal="left" vertical="top" wrapText="1"/>
      <protection/>
    </xf>
    <xf numFmtId="0" fontId="30" fillId="0" borderId="12" xfId="58" applyFont="1" applyBorder="1" applyAlignment="1">
      <alignment horizontal="left" vertical="top" wrapText="1"/>
      <protection/>
    </xf>
    <xf numFmtId="0" fontId="30" fillId="0" borderId="11" xfId="58" applyFont="1" applyBorder="1" applyAlignment="1">
      <alignment vertical="top" wrapText="1"/>
      <protection/>
    </xf>
    <xf numFmtId="0" fontId="30" fillId="0" borderId="24" xfId="58" applyFont="1" applyBorder="1" applyAlignment="1">
      <alignment vertical="top" wrapText="1"/>
      <protection/>
    </xf>
    <xf numFmtId="0" fontId="30" fillId="0" borderId="12" xfId="58" applyFont="1" applyBorder="1" applyAlignment="1">
      <alignment vertical="top" wrapText="1"/>
      <protection/>
    </xf>
    <xf numFmtId="0" fontId="30" fillId="0" borderId="11" xfId="58" applyFont="1" applyFill="1" applyBorder="1" applyAlignment="1">
      <alignment horizontal="left" vertical="top" wrapText="1"/>
      <protection/>
    </xf>
    <xf numFmtId="0" fontId="30" fillId="0" borderId="24" xfId="58" applyFont="1" applyFill="1" applyBorder="1" applyAlignment="1">
      <alignment horizontal="left" vertical="top" wrapText="1"/>
      <protection/>
    </xf>
    <xf numFmtId="0" fontId="30" fillId="0" borderId="12" xfId="58" applyFont="1" applyFill="1" applyBorder="1" applyAlignment="1">
      <alignment horizontal="left" vertical="top" wrapText="1"/>
      <protection/>
    </xf>
    <xf numFmtId="165" fontId="19" fillId="0" borderId="10" xfId="58" applyNumberFormat="1" applyFont="1" applyBorder="1" applyAlignment="1">
      <alignment vertical="top" wrapText="1"/>
      <protection/>
    </xf>
    <xf numFmtId="165" fontId="19" fillId="0" borderId="10" xfId="58" applyNumberFormat="1" applyFont="1" applyFill="1" applyBorder="1" applyAlignment="1">
      <alignment horizontal="right" vertical="top"/>
      <protection/>
    </xf>
    <xf numFmtId="0" fontId="19" fillId="0" borderId="0" xfId="58" applyNumberFormat="1" applyFont="1" applyAlignment="1">
      <alignment horizontal="left" vertical="center" wrapText="1" indent="18"/>
      <protection/>
    </xf>
    <xf numFmtId="0" fontId="22" fillId="0" borderId="0" xfId="58" applyNumberFormat="1" applyFont="1" applyAlignment="1">
      <alignment horizontal="left" vertical="center" wrapText="1" indent="18"/>
      <protection/>
    </xf>
    <xf numFmtId="0" fontId="18" fillId="0" borderId="0" xfId="58">
      <alignment/>
      <protection/>
    </xf>
    <xf numFmtId="165" fontId="18" fillId="0" borderId="0" xfId="58" applyNumberFormat="1">
      <alignment/>
      <protection/>
    </xf>
    <xf numFmtId="164" fontId="69" fillId="0" borderId="10" xfId="58" applyNumberFormat="1" applyFont="1" applyFill="1" applyBorder="1">
      <alignment/>
      <protection/>
    </xf>
    <xf numFmtId="49" fontId="70" fillId="0" borderId="11" xfId="58" applyNumberFormat="1" applyFont="1" applyBorder="1" applyAlignment="1">
      <alignment horizontal="left" wrapText="1"/>
      <protection/>
    </xf>
    <xf numFmtId="49" fontId="70" fillId="0" borderId="12" xfId="58" applyNumberFormat="1" applyFont="1" applyBorder="1" applyAlignment="1">
      <alignment horizontal="left" wrapText="1"/>
      <protection/>
    </xf>
    <xf numFmtId="164" fontId="71" fillId="0" borderId="10" xfId="58" applyNumberFormat="1" applyFont="1" applyFill="1" applyBorder="1">
      <alignment/>
      <protection/>
    </xf>
    <xf numFmtId="0" fontId="21" fillId="0" borderId="10" xfId="58" applyFont="1" applyBorder="1" applyAlignment="1">
      <alignment horizontal="left" vertical="top" wrapText="1"/>
      <protection/>
    </xf>
    <xf numFmtId="49" fontId="71" fillId="0" borderId="10" xfId="58" applyNumberFormat="1" applyFont="1" applyBorder="1" applyAlignment="1">
      <alignment vertical="top"/>
      <protection/>
    </xf>
    <xf numFmtId="49" fontId="72" fillId="0" borderId="10" xfId="58" applyNumberFormat="1" applyFont="1" applyBorder="1" applyAlignment="1">
      <alignment vertical="top" wrapText="1"/>
      <protection/>
    </xf>
    <xf numFmtId="49" fontId="70" fillId="0" borderId="10" xfId="58" applyNumberFormat="1" applyFont="1" applyBorder="1" applyAlignment="1">
      <alignment vertical="top" wrapText="1"/>
      <protection/>
    </xf>
    <xf numFmtId="49" fontId="69" fillId="0" borderId="10" xfId="58" applyNumberFormat="1" applyFont="1" applyBorder="1" applyAlignment="1">
      <alignment vertical="top"/>
      <protection/>
    </xf>
    <xf numFmtId="49" fontId="72" fillId="0" borderId="10" xfId="58" applyNumberFormat="1" applyFont="1" applyBorder="1" applyAlignment="1">
      <alignment horizontal="left" vertical="top" wrapText="1"/>
      <protection/>
    </xf>
    <xf numFmtId="164" fontId="69" fillId="0" borderId="10" xfId="58" applyNumberFormat="1" applyFont="1" applyBorder="1">
      <alignment/>
      <protection/>
    </xf>
    <xf numFmtId="164" fontId="71" fillId="0" borderId="10" xfId="58" applyNumberFormat="1" applyFont="1" applyBorder="1">
      <alignment/>
      <protection/>
    </xf>
    <xf numFmtId="0" fontId="21" fillId="0" borderId="10" xfId="58" applyFont="1" applyBorder="1" applyAlignment="1">
      <alignment horizontal="justify" vertical="top" wrapText="1"/>
      <protection/>
    </xf>
    <xf numFmtId="0" fontId="72" fillId="0" borderId="10" xfId="58" applyFont="1" applyBorder="1" applyAlignment="1">
      <alignment horizontal="center" vertical="center" wrapText="1"/>
      <protection/>
    </xf>
    <xf numFmtId="49" fontId="72" fillId="0" borderId="10" xfId="58" applyNumberFormat="1" applyFont="1" applyBorder="1" applyAlignment="1">
      <alignment horizontal="center"/>
      <protection/>
    </xf>
    <xf numFmtId="49" fontId="18" fillId="0" borderId="10" xfId="58" applyNumberFormat="1" applyBorder="1">
      <alignment/>
      <protection/>
    </xf>
    <xf numFmtId="0" fontId="73" fillId="0" borderId="0" xfId="58" applyFont="1" applyAlignment="1">
      <alignment horizontal="right"/>
      <protection/>
    </xf>
    <xf numFmtId="0" fontId="72" fillId="0" borderId="0" xfId="58" applyFont="1">
      <alignment/>
      <protection/>
    </xf>
    <xf numFmtId="0" fontId="69" fillId="0" borderId="0" xfId="58" applyFont="1" applyAlignment="1">
      <alignment horizontal="center"/>
      <protection/>
    </xf>
    <xf numFmtId="0" fontId="74" fillId="0" borderId="0" xfId="58" applyFont="1" applyAlignment="1">
      <alignment horizontal="left" indent="24"/>
      <protection/>
    </xf>
    <xf numFmtId="0" fontId="69" fillId="0" borderId="0" xfId="58" applyFont="1" applyAlignment="1">
      <alignment horizontal="left" indent="24"/>
      <protection/>
    </xf>
    <xf numFmtId="0" fontId="75" fillId="0" borderId="0" xfId="58" applyFont="1">
      <alignment/>
      <protection/>
    </xf>
    <xf numFmtId="164" fontId="18" fillId="0" borderId="0" xfId="58" applyNumberFormat="1">
      <alignment/>
      <protection/>
    </xf>
    <xf numFmtId="0" fontId="74" fillId="0" borderId="0" xfId="58" applyFont="1" applyAlignment="1">
      <alignment horizontal="left" indent="30"/>
      <protection/>
    </xf>
    <xf numFmtId="0" fontId="69" fillId="0" borderId="0" xfId="58" applyFont="1" applyAlignment="1">
      <alignment horizontal="left" indent="30"/>
      <protection/>
    </xf>
    <xf numFmtId="0" fontId="23" fillId="0" borderId="10" xfId="58" applyFont="1" applyBorder="1" applyAlignment="1">
      <alignment horizontal="justify" vertical="top" wrapText="1"/>
      <protection/>
    </xf>
    <xf numFmtId="0" fontId="23" fillId="0" borderId="10" xfId="58" applyFont="1" applyBorder="1" applyAlignment="1">
      <alignment horizontal="center" vertical="top" wrapText="1"/>
      <protection/>
    </xf>
    <xf numFmtId="49" fontId="23" fillId="0" borderId="10" xfId="58" applyNumberFormat="1" applyFont="1" applyBorder="1" applyAlignment="1">
      <alignment horizontal="center" vertical="top" wrapText="1"/>
      <protection/>
    </xf>
    <xf numFmtId="0" fontId="44" fillId="0" borderId="10" xfId="58" applyFont="1" applyBorder="1" applyAlignment="1">
      <alignment vertical="top" wrapText="1"/>
      <protection/>
    </xf>
    <xf numFmtId="0" fontId="23" fillId="0" borderId="10" xfId="58" applyFont="1" applyBorder="1" applyAlignment="1">
      <alignment horizontal="left" vertical="top" wrapText="1"/>
      <protection/>
    </xf>
    <xf numFmtId="49" fontId="44" fillId="0" borderId="10" xfId="58" applyNumberFormat="1" applyFont="1" applyBorder="1" applyAlignment="1">
      <alignment horizontal="center"/>
      <protection/>
    </xf>
    <xf numFmtId="0" fontId="27" fillId="0" borderId="10" xfId="58" applyFont="1" applyBorder="1" applyAlignment="1">
      <alignment horizontal="center" vertical="top" wrapText="1"/>
      <protection/>
    </xf>
    <xf numFmtId="0" fontId="27" fillId="0" borderId="0" xfId="58" applyFont="1" applyAlignment="1">
      <alignment horizontal="center" vertical="center" wrapText="1"/>
      <protection/>
    </xf>
    <xf numFmtId="0" fontId="21" fillId="0" borderId="0" xfId="58" applyFont="1" applyFill="1" applyAlignment="1">
      <alignment/>
      <protection/>
    </xf>
    <xf numFmtId="0" fontId="21" fillId="0" borderId="0" xfId="58" applyFont="1" applyFill="1" applyAlignment="1">
      <alignment horizontal="left" wrapText="1" indent="7"/>
      <protection/>
    </xf>
    <xf numFmtId="0" fontId="19" fillId="0" borderId="0" xfId="58" applyFont="1" applyFill="1" applyAlignment="1">
      <alignment horizontal="left" vertical="top" wrapText="1" indent="7"/>
      <protection/>
    </xf>
    <xf numFmtId="0" fontId="18" fillId="0" borderId="0" xfId="58" applyFont="1">
      <alignment/>
      <protection/>
    </xf>
    <xf numFmtId="0" fontId="23" fillId="0" borderId="0" xfId="58" applyFont="1" applyAlignment="1">
      <alignment wrapText="1"/>
      <protection/>
    </xf>
    <xf numFmtId="49" fontId="23" fillId="0" borderId="0" xfId="58" applyNumberFormat="1" applyFont="1" applyFill="1" applyBorder="1" applyAlignment="1">
      <alignment vertical="top" wrapText="1"/>
      <protection/>
    </xf>
    <xf numFmtId="0" fontId="23" fillId="0" borderId="0" xfId="58" applyFont="1">
      <alignment/>
      <protection/>
    </xf>
    <xf numFmtId="0" fontId="23" fillId="0" borderId="10" xfId="58" applyFont="1" applyBorder="1" applyAlignment="1">
      <alignment vertical="top" wrapText="1"/>
      <protection/>
    </xf>
    <xf numFmtId="0" fontId="25" fillId="0" borderId="10" xfId="58" applyFont="1" applyBorder="1" applyAlignment="1">
      <alignment horizontal="left" vertical="top" wrapText="1"/>
      <protection/>
    </xf>
    <xf numFmtId="0" fontId="25" fillId="0" borderId="10" xfId="58" applyFont="1" applyBorder="1" applyAlignment="1">
      <alignment horizontal="justify" vertical="top" wrapText="1"/>
      <protection/>
    </xf>
    <xf numFmtId="49" fontId="44" fillId="0" borderId="10" xfId="58" applyNumberFormat="1" applyFont="1" applyBorder="1" applyAlignment="1">
      <alignment horizontal="center" vertical="top" wrapText="1"/>
      <protection/>
    </xf>
    <xf numFmtId="0" fontId="22" fillId="0" borderId="10" xfId="58" applyFont="1" applyBorder="1" applyAlignment="1">
      <alignment vertical="top" wrapText="1"/>
      <protection/>
    </xf>
    <xf numFmtId="49" fontId="22" fillId="0" borderId="10" xfId="58" applyNumberFormat="1" applyFont="1" applyBorder="1" applyAlignment="1">
      <alignment horizontal="center" vertical="top" wrapText="1"/>
      <protection/>
    </xf>
    <xf numFmtId="0" fontId="44" fillId="0" borderId="10" xfId="58" applyFont="1" applyBorder="1" applyAlignment="1">
      <alignment horizontal="justify" vertical="top" wrapText="1"/>
      <protection/>
    </xf>
    <xf numFmtId="0" fontId="25" fillId="0" borderId="10" xfId="58" applyFont="1" applyBorder="1" applyAlignment="1">
      <alignment vertical="top" wrapText="1"/>
      <protection/>
    </xf>
    <xf numFmtId="49" fontId="25" fillId="0" borderId="10" xfId="58" applyNumberFormat="1" applyFont="1" applyBorder="1" applyAlignment="1">
      <alignment horizontal="center" vertical="top" wrapText="1"/>
      <protection/>
    </xf>
    <xf numFmtId="0" fontId="44" fillId="0" borderId="10" xfId="58" applyFont="1" applyBorder="1" applyAlignment="1">
      <alignment horizontal="left" vertical="top" wrapText="1"/>
      <protection/>
    </xf>
    <xf numFmtId="0" fontId="22" fillId="0" borderId="10" xfId="58" applyFont="1" applyBorder="1" applyAlignment="1">
      <alignment horizontal="left" vertical="justify" wrapText="1"/>
      <protection/>
    </xf>
    <xf numFmtId="0" fontId="25" fillId="0" borderId="0" xfId="58" applyFont="1" applyBorder="1" applyAlignment="1">
      <alignment horizontal="justify" vertical="top" wrapText="1"/>
      <protection/>
    </xf>
    <xf numFmtId="0" fontId="25" fillId="0" borderId="0" xfId="58" applyFont="1" applyBorder="1" applyAlignment="1">
      <alignment horizontal="left" vertical="top" wrapText="1"/>
      <protection/>
    </xf>
    <xf numFmtId="49" fontId="23" fillId="0" borderId="0" xfId="58" applyNumberFormat="1" applyFont="1" applyBorder="1" applyAlignment="1">
      <alignment horizontal="center" vertical="top" wrapText="1"/>
      <protection/>
    </xf>
    <xf numFmtId="49" fontId="44" fillId="0" borderId="10" xfId="58" applyNumberFormat="1" applyFont="1" applyBorder="1" applyAlignment="1">
      <alignment horizontal="center" vertical="justify"/>
      <protection/>
    </xf>
    <xf numFmtId="49" fontId="44" fillId="0" borderId="10" xfId="58" applyNumberFormat="1" applyFont="1" applyBorder="1" applyAlignment="1">
      <alignment horizontal="center" vertical="top"/>
      <protection/>
    </xf>
    <xf numFmtId="49" fontId="25" fillId="0" borderId="10" xfId="58" applyNumberFormat="1" applyFont="1" applyBorder="1" applyAlignment="1">
      <alignment horizontal="center" vertical="top"/>
      <protection/>
    </xf>
    <xf numFmtId="0" fontId="18" fillId="0" borderId="0" xfId="58" applyFill="1">
      <alignment/>
      <protection/>
    </xf>
    <xf numFmtId="0" fontId="22" fillId="0" borderId="15" xfId="58" applyFont="1" applyBorder="1" applyAlignment="1">
      <alignment horizontal="left" vertical="center" wrapText="1"/>
      <protection/>
    </xf>
    <xf numFmtId="0" fontId="23" fillId="0" borderId="15" xfId="58" applyFont="1" applyBorder="1" applyAlignment="1">
      <alignment horizontal="center" vertical="top" wrapText="1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10" xfId="58" applyFont="1" applyBorder="1" applyAlignment="1">
      <alignment horizontal="center" vertical="top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17" xfId="58" applyFont="1" applyFill="1" applyBorder="1" applyAlignment="1">
      <alignment horizontal="center" vertical="center" wrapText="1"/>
      <protection/>
    </xf>
    <xf numFmtId="0" fontId="23" fillId="0" borderId="0" xfId="58" applyFont="1" applyAlignment="1">
      <alignment horizontal="left" vertical="center" wrapText="1" indent="5"/>
      <protection/>
    </xf>
    <xf numFmtId="0" fontId="38" fillId="0" borderId="0" xfId="58" applyFont="1">
      <alignment/>
      <protection/>
    </xf>
    <xf numFmtId="0" fontId="22" fillId="0" borderId="0" xfId="58" applyFont="1" applyBorder="1" applyAlignment="1">
      <alignment wrapText="1"/>
      <protection/>
    </xf>
    <xf numFmtId="0" fontId="25" fillId="0" borderId="0" xfId="58" applyFont="1" applyBorder="1" applyAlignment="1">
      <alignment horizontal="left" wrapText="1"/>
      <protection/>
    </xf>
    <xf numFmtId="0" fontId="18" fillId="0" borderId="0" xfId="58" applyBorder="1">
      <alignment/>
      <protection/>
    </xf>
    <xf numFmtId="0" fontId="38" fillId="0" borderId="0" xfId="58" applyFont="1" applyBorder="1" applyAlignment="1">
      <alignment horizontal="center"/>
      <protection/>
    </xf>
    <xf numFmtId="0" fontId="23" fillId="0" borderId="10" xfId="58" applyFont="1" applyBorder="1" applyAlignment="1">
      <alignment wrapText="1"/>
      <protection/>
    </xf>
    <xf numFmtId="49" fontId="23" fillId="0" borderId="10" xfId="58" applyNumberFormat="1" applyFont="1" applyBorder="1" applyAlignment="1">
      <alignment horizontal="center" vertical="top"/>
      <protection/>
    </xf>
    <xf numFmtId="0" fontId="22" fillId="0" borderId="10" xfId="58" applyFont="1" applyBorder="1" applyAlignment="1">
      <alignment wrapText="1"/>
      <protection/>
    </xf>
    <xf numFmtId="49" fontId="23" fillId="0" borderId="10" xfId="58" applyNumberFormat="1" applyFont="1" applyBorder="1" applyAlignment="1">
      <alignment horizontal="left" vertical="top"/>
      <protection/>
    </xf>
    <xf numFmtId="49" fontId="22" fillId="0" borderId="10" xfId="58" applyNumberFormat="1" applyFont="1" applyBorder="1" applyAlignment="1">
      <alignment horizontal="center" vertical="top"/>
      <protection/>
    </xf>
    <xf numFmtId="0" fontId="23" fillId="0" borderId="14" xfId="58" applyFont="1" applyBorder="1" applyAlignment="1">
      <alignment horizontal="left" vertical="top" wrapText="1"/>
      <protection/>
    </xf>
    <xf numFmtId="49" fontId="23" fillId="0" borderId="14" xfId="58" applyNumberFormat="1" applyFont="1" applyBorder="1" applyAlignment="1">
      <alignment horizontal="left" vertical="top"/>
      <protection/>
    </xf>
    <xf numFmtId="49" fontId="23" fillId="0" borderId="14" xfId="58" applyNumberFormat="1" applyFont="1" applyBorder="1" applyAlignment="1">
      <alignment horizontal="center" vertical="top"/>
      <protection/>
    </xf>
    <xf numFmtId="0" fontId="19" fillId="0" borderId="0" xfId="58" applyFont="1" applyBorder="1" applyAlignment="1">
      <alignment horizontal="left" vertical="top" wrapText="1"/>
      <protection/>
    </xf>
    <xf numFmtId="0" fontId="22" fillId="0" borderId="10" xfId="58" applyFont="1" applyBorder="1" applyAlignment="1">
      <alignment horizontal="left" vertical="top" wrapText="1"/>
      <protection/>
    </xf>
    <xf numFmtId="0" fontId="22" fillId="0" borderId="10" xfId="58" applyFont="1" applyBorder="1" applyAlignment="1">
      <alignment vertical="center" wrapText="1"/>
      <protection/>
    </xf>
    <xf numFmtId="0" fontId="44" fillId="0" borderId="10" xfId="58" applyFont="1" applyBorder="1" applyAlignment="1">
      <alignment horizontal="left" vertical="center" wrapText="1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0" fontId="23" fillId="0" borderId="10" xfId="58" applyNumberFormat="1" applyFont="1" applyBorder="1" applyAlignment="1">
      <alignment wrapText="1"/>
      <protection/>
    </xf>
    <xf numFmtId="0" fontId="48" fillId="0" borderId="10" xfId="58" applyFont="1" applyBorder="1" applyAlignment="1">
      <alignment vertical="center"/>
      <protection/>
    </xf>
    <xf numFmtId="0" fontId="49" fillId="0" borderId="10" xfId="58" applyFont="1" applyBorder="1" applyAlignment="1">
      <alignment vertical="top"/>
      <protection/>
    </xf>
    <xf numFmtId="0" fontId="22" fillId="0" borderId="10" xfId="58" applyFont="1" applyBorder="1" applyAlignment="1">
      <alignment horizontal="left" vertical="center" wrapText="1"/>
      <protection/>
    </xf>
    <xf numFmtId="49" fontId="23" fillId="0" borderId="10" xfId="58" applyNumberFormat="1" applyFont="1" applyBorder="1" applyAlignment="1">
      <alignment horizontal="left" vertical="center"/>
      <protection/>
    </xf>
    <xf numFmtId="0" fontId="22" fillId="0" borderId="10" xfId="58" applyFont="1" applyBorder="1" applyAlignment="1">
      <alignment horizontal="center" vertical="center" wrapText="1"/>
      <protection/>
    </xf>
    <xf numFmtId="0" fontId="49" fillId="0" borderId="11" xfId="58" applyFont="1" applyBorder="1" applyAlignment="1">
      <alignment horizontal="center" vertical="center" wrapText="1"/>
      <protection/>
    </xf>
    <xf numFmtId="0" fontId="27" fillId="0" borderId="0" xfId="58" applyFont="1" applyAlignment="1">
      <alignment horizontal="center" wrapText="1"/>
      <protection/>
    </xf>
    <xf numFmtId="0" fontId="22" fillId="0" borderId="0" xfId="58" applyFont="1" applyAlignment="1">
      <alignment horizontal="center" vertical="center" wrapText="1"/>
      <protection/>
    </xf>
    <xf numFmtId="0" fontId="21" fillId="0" borderId="0" xfId="58" applyFont="1" applyAlignment="1">
      <alignment horizontal="left" wrapText="1" indent="12"/>
      <protection/>
    </xf>
    <xf numFmtId="0" fontId="50" fillId="0" borderId="0" xfId="58" applyFont="1" applyAlignment="1">
      <alignment horizontal="left" vertical="top" wrapText="1" indent="12"/>
      <protection/>
    </xf>
    <xf numFmtId="164" fontId="22" fillId="0" borderId="10" xfId="58" applyNumberFormat="1" applyFont="1" applyFill="1" applyBorder="1">
      <alignment/>
      <protection/>
    </xf>
    <xf numFmtId="0" fontId="22" fillId="0" borderId="10" xfId="58" applyFont="1" applyFill="1" applyBorder="1">
      <alignment/>
      <protection/>
    </xf>
    <xf numFmtId="0" fontId="50" fillId="0" borderId="10" xfId="58" applyFont="1" applyFill="1" applyBorder="1" applyAlignment="1">
      <alignment horizontal="center" vertical="top"/>
      <protection/>
    </xf>
    <xf numFmtId="164" fontId="22" fillId="0" borderId="10" xfId="58" applyNumberFormat="1" applyFont="1" applyFill="1" applyBorder="1" applyAlignment="1">
      <alignment wrapText="1"/>
      <protection/>
    </xf>
    <xf numFmtId="0" fontId="22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center" vertical="top"/>
      <protection/>
    </xf>
    <xf numFmtId="164" fontId="21" fillId="0" borderId="10" xfId="58" applyNumberFormat="1" applyFont="1" applyFill="1" applyBorder="1" applyAlignment="1">
      <alignment wrapText="1"/>
      <protection/>
    </xf>
    <xf numFmtId="0" fontId="21" fillId="0" borderId="10" xfId="58" applyFont="1" applyFill="1" applyBorder="1" applyAlignment="1">
      <alignment vertical="top" wrapText="1"/>
      <protection/>
    </xf>
    <xf numFmtId="0" fontId="23" fillId="0" borderId="10" xfId="58" applyFont="1" applyFill="1" applyBorder="1" applyAlignment="1">
      <alignment horizontal="center" vertical="top"/>
      <protection/>
    </xf>
    <xf numFmtId="164" fontId="21" fillId="0" borderId="10" xfId="58" applyNumberFormat="1" applyFont="1" applyFill="1" applyBorder="1">
      <alignment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49" fontId="21" fillId="0" borderId="10" xfId="58" applyNumberFormat="1" applyFont="1" applyFill="1" applyBorder="1" applyAlignment="1">
      <alignment horizontal="center" vertical="top"/>
      <protection/>
    </xf>
    <xf numFmtId="0" fontId="37" fillId="0" borderId="10" xfId="58" applyFont="1" applyFill="1" applyBorder="1" applyAlignment="1">
      <alignment horizontal="left" vertical="center" wrapText="1"/>
      <protection/>
    </xf>
    <xf numFmtId="0" fontId="21" fillId="0" borderId="10" xfId="58" applyFont="1" applyFill="1" applyBorder="1" applyAlignment="1">
      <alignment vertical="center" wrapText="1"/>
      <protection/>
    </xf>
    <xf numFmtId="164" fontId="19" fillId="0" borderId="10" xfId="58" applyNumberFormat="1" applyFont="1" applyFill="1" applyBorder="1">
      <alignment/>
      <protection/>
    </xf>
    <xf numFmtId="0" fontId="22" fillId="0" borderId="12" xfId="58" applyFont="1" applyFill="1" applyBorder="1" applyAlignment="1">
      <alignment horizontal="center" wrapText="1"/>
      <protection/>
    </xf>
    <xf numFmtId="0" fontId="21" fillId="0" borderId="10" xfId="58" applyFont="1" applyFill="1" applyBorder="1" applyAlignment="1">
      <alignment vertical="top" wrapText="1"/>
      <protection/>
    </xf>
    <xf numFmtId="0" fontId="21" fillId="0" borderId="10" xfId="58" applyFont="1" applyFill="1" applyBorder="1" applyAlignment="1">
      <alignment horizontal="left" vertical="top" wrapText="1"/>
      <protection/>
    </xf>
    <xf numFmtId="0" fontId="24" fillId="0" borderId="10" xfId="58" applyFont="1" applyFill="1" applyBorder="1" applyAlignment="1">
      <alignment vertical="top" wrapText="1"/>
      <protection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Border="1" applyAlignment="1">
      <alignment vertical="top" wrapText="1"/>
      <protection/>
    </xf>
    <xf numFmtId="0" fontId="21" fillId="0" borderId="10" xfId="58" applyFont="1" applyFill="1" applyBorder="1" applyAlignment="1">
      <alignment wrapText="1"/>
      <protection/>
    </xf>
    <xf numFmtId="164" fontId="22" fillId="0" borderId="10" xfId="58" applyNumberFormat="1" applyFont="1" applyFill="1" applyBorder="1" applyAlignment="1">
      <alignment vertical="center" wrapText="1"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left" vertical="top" wrapText="1"/>
      <protection/>
    </xf>
    <xf numFmtId="164" fontId="23" fillId="0" borderId="10" xfId="58" applyNumberFormat="1" applyFont="1" applyFill="1" applyBorder="1">
      <alignment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1" fillId="34" borderId="10" xfId="58" applyFont="1" applyFill="1" applyBorder="1" applyAlignment="1">
      <alignment horizontal="left" vertical="top" wrapText="1"/>
      <protection/>
    </xf>
    <xf numFmtId="0" fontId="21" fillId="34" borderId="10" xfId="58" applyFont="1" applyFill="1" applyBorder="1" applyAlignment="1">
      <alignment vertical="top" wrapText="1"/>
      <protection/>
    </xf>
    <xf numFmtId="3" fontId="18" fillId="0" borderId="0" xfId="58" applyNumberFormat="1">
      <alignment/>
      <protection/>
    </xf>
    <xf numFmtId="0" fontId="21" fillId="0" borderId="14" xfId="58" applyFont="1" applyFill="1" applyBorder="1" applyAlignment="1">
      <alignment horizontal="left" vertical="center" wrapText="1"/>
      <protection/>
    </xf>
    <xf numFmtId="0" fontId="23" fillId="0" borderId="10" xfId="58" applyFont="1" applyFill="1" applyBorder="1">
      <alignment/>
      <protection/>
    </xf>
    <xf numFmtId="0" fontId="22" fillId="0" borderId="12" xfId="58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0" xfId="58" applyFont="1" applyFill="1" applyAlignment="1">
      <alignment horizontal="center" vertical="center"/>
      <protection/>
    </xf>
    <xf numFmtId="0" fontId="22" fillId="0" borderId="0" xfId="58" applyFont="1" applyFill="1" applyAlignment="1">
      <alignment horizontal="center" vertical="center"/>
      <protection/>
    </xf>
    <xf numFmtId="0" fontId="22" fillId="0" borderId="0" xfId="58" applyFont="1" applyFill="1" applyAlignment="1">
      <alignment horizontal="center" vertical="center"/>
      <protection/>
    </xf>
    <xf numFmtId="0" fontId="49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horizontal="left" indent="37"/>
      <protection/>
    </xf>
    <xf numFmtId="0" fontId="23" fillId="0" borderId="0" xfId="58" applyFont="1" applyFill="1" applyAlignment="1">
      <alignment horizontal="left" wrapText="1" indent="37"/>
      <protection/>
    </xf>
    <xf numFmtId="0" fontId="22" fillId="0" borderId="0" xfId="58" applyFont="1" applyFill="1" applyAlignment="1">
      <alignment horizontal="left" indent="37"/>
      <protection/>
    </xf>
    <xf numFmtId="0" fontId="50" fillId="0" borderId="0" xfId="58" applyFont="1" applyFill="1" applyAlignment="1">
      <alignment/>
      <protection/>
    </xf>
    <xf numFmtId="0" fontId="42" fillId="0" borderId="0" xfId="58" applyFont="1" applyBorder="1" applyAlignment="1">
      <alignment wrapText="1"/>
      <protection/>
    </xf>
    <xf numFmtId="0" fontId="42" fillId="0" borderId="0" xfId="58" applyFont="1" applyAlignment="1">
      <alignment wrapText="1"/>
      <protection/>
    </xf>
    <xf numFmtId="0" fontId="42" fillId="0" borderId="0" xfId="58" applyFont="1" applyFill="1" applyBorder="1" applyAlignment="1">
      <alignment wrapText="1"/>
      <protection/>
    </xf>
    <xf numFmtId="0" fontId="23" fillId="0" borderId="0" xfId="58" applyFont="1" applyBorder="1" applyAlignment="1">
      <alignment horizontal="center"/>
      <protection/>
    </xf>
    <xf numFmtId="165" fontId="23" fillId="0" borderId="10" xfId="58" applyNumberFormat="1" applyFont="1" applyFill="1" applyBorder="1" applyAlignment="1">
      <alignment horizontal="center"/>
      <protection/>
    </xf>
    <xf numFmtId="49" fontId="23" fillId="0" borderId="10" xfId="58" applyNumberFormat="1" applyFont="1" applyBorder="1" applyAlignment="1">
      <alignment wrapText="1"/>
      <protection/>
    </xf>
    <xf numFmtId="164" fontId="71" fillId="0" borderId="10" xfId="58" applyNumberFormat="1" applyFont="1" applyFill="1" applyBorder="1" applyAlignment="1">
      <alignment horizontal="center"/>
      <protection/>
    </xf>
    <xf numFmtId="165" fontId="22" fillId="0" borderId="15" xfId="58" applyNumberFormat="1" applyFont="1" applyFill="1" applyBorder="1" applyAlignment="1">
      <alignment horizontal="center" wrapText="1"/>
      <protection/>
    </xf>
    <xf numFmtId="0" fontId="23" fillId="0" borderId="10" xfId="58" applyFont="1" applyBorder="1" applyAlignment="1">
      <alignment vertical="center" wrapText="1"/>
      <protection/>
    </xf>
    <xf numFmtId="165" fontId="22" fillId="0" borderId="14" xfId="58" applyNumberFormat="1" applyFont="1" applyFill="1" applyBorder="1" applyAlignment="1">
      <alignment horizontal="center" wrapText="1"/>
      <protection/>
    </xf>
    <xf numFmtId="0" fontId="23" fillId="0" borderId="0" xfId="58" applyFont="1" applyAlignment="1">
      <alignment horizontal="right"/>
      <protection/>
    </xf>
    <xf numFmtId="0" fontId="22" fillId="0" borderId="0" xfId="58" applyFont="1" applyAlignment="1">
      <alignment horizontal="center" wrapText="1"/>
      <protection/>
    </xf>
    <xf numFmtId="0" fontId="21" fillId="0" borderId="0" xfId="58" applyFont="1" applyAlignment="1">
      <alignment horizontal="left" wrapText="1"/>
      <protection/>
    </xf>
    <xf numFmtId="0" fontId="21" fillId="0" borderId="0" xfId="58" applyFont="1" applyAlignment="1">
      <alignment horizontal="left" vertical="top" wrapText="1"/>
      <protection/>
    </xf>
    <xf numFmtId="0" fontId="50" fillId="0" borderId="0" xfId="58" applyFont="1" applyAlignment="1">
      <alignment horizontal="left" vertical="top" wrapText="1"/>
      <protection/>
    </xf>
    <xf numFmtId="0" fontId="23" fillId="0" borderId="10" xfId="58" applyFont="1" applyFill="1" applyBorder="1" applyAlignment="1">
      <alignment vertical="top" wrapText="1"/>
      <protection/>
    </xf>
    <xf numFmtId="0" fontId="23" fillId="0" borderId="0" xfId="58" applyFont="1" applyAlignment="1">
      <alignment vertical="top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24" xfId="58" applyFont="1" applyFill="1" applyBorder="1" applyAlignment="1">
      <alignment horizontal="center" vertical="center" wrapText="1"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164" fontId="20" fillId="0" borderId="11" xfId="58" applyNumberFormat="1" applyFont="1" applyFill="1" applyBorder="1">
      <alignment/>
      <protection/>
    </xf>
    <xf numFmtId="0" fontId="21" fillId="0" borderId="12" xfId="58" applyFont="1" applyFill="1" applyBorder="1" applyAlignment="1">
      <alignment horizontal="center" vertical="top"/>
      <protection/>
    </xf>
    <xf numFmtId="0" fontId="23" fillId="0" borderId="14" xfId="58" applyFont="1" applyFill="1" applyBorder="1" applyAlignment="1">
      <alignment horizontal="left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24" xfId="58" applyFont="1" applyFill="1" applyBorder="1" applyAlignment="1">
      <alignment horizontal="center" vertical="center" wrapText="1"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top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right"/>
      <protection/>
    </xf>
    <xf numFmtId="0" fontId="27" fillId="0" borderId="0" xfId="58" applyFont="1" applyFill="1" applyAlignment="1">
      <alignment/>
      <protection/>
    </xf>
    <xf numFmtId="0" fontId="18" fillId="0" borderId="0" xfId="58" applyAlignment="1">
      <alignment/>
      <protection/>
    </xf>
    <xf numFmtId="0" fontId="19" fillId="0" borderId="0" xfId="58" applyFont="1" applyFill="1" applyAlignment="1">
      <alignment horizontal="left" vertical="top"/>
      <protection/>
    </xf>
    <xf numFmtId="0" fontId="23" fillId="0" borderId="0" xfId="58" applyFont="1" applyFill="1" applyAlignment="1">
      <alignment horizontal="left" vertical="top" indent="37"/>
      <protection/>
    </xf>
    <xf numFmtId="0" fontId="23" fillId="0" borderId="0" xfId="58" applyFont="1" applyFill="1" applyAlignment="1">
      <alignment horizontal="left" vertical="top" wrapText="1" indent="37"/>
      <protection/>
    </xf>
    <xf numFmtId="0" fontId="50" fillId="0" borderId="10" xfId="58" applyFont="1" applyFill="1" applyBorder="1" applyAlignment="1">
      <alignment horizontal="center" vertical="top"/>
      <protection/>
    </xf>
    <xf numFmtId="0" fontId="23" fillId="0" borderId="10" xfId="58" applyFont="1" applyFill="1" applyBorder="1" applyAlignment="1">
      <alignment horizontal="center" vertical="top"/>
      <protection/>
    </xf>
    <xf numFmtId="164" fontId="21" fillId="0" borderId="10" xfId="58" applyNumberFormat="1" applyFont="1" applyBorder="1">
      <alignment/>
      <protection/>
    </xf>
    <xf numFmtId="164" fontId="21" fillId="0" borderId="10" xfId="58" applyNumberFormat="1" applyFont="1" applyFill="1" applyBorder="1">
      <alignment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top"/>
      <protection/>
    </xf>
    <xf numFmtId="165" fontId="21" fillId="0" borderId="10" xfId="58" applyNumberFormat="1" applyFont="1" applyBorder="1">
      <alignment/>
      <protection/>
    </xf>
    <xf numFmtId="0" fontId="21" fillId="0" borderId="10" xfId="58" applyFont="1" applyBorder="1" applyAlignment="1">
      <alignment horizontal="center" vertical="top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0" fontId="23" fillId="0" borderId="0" xfId="58" applyFont="1" applyFill="1" applyAlignment="1">
      <alignment horizontal="left" wrapText="1" indent="40"/>
      <protection/>
    </xf>
    <xf numFmtId="0" fontId="22" fillId="0" borderId="0" xfId="58" applyFont="1" applyFill="1" applyAlignment="1">
      <alignment horizontal="left" indent="40"/>
      <protection/>
    </xf>
    <xf numFmtId="0" fontId="23" fillId="0" borderId="0" xfId="58" applyFont="1" applyAlignment="1">
      <alignment horizontal="left" vertical="top" wrapText="1" indent="5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2" xfId="58"/>
    <cellStyle name="Обычный 2 2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10" xfId="66"/>
    <cellStyle name="Примечание 11" xfId="67"/>
    <cellStyle name="Примечание 12" xfId="68"/>
    <cellStyle name="Примечание 2" xfId="69"/>
    <cellStyle name="Примечание 3" xfId="70"/>
    <cellStyle name="Примечание 4" xfId="71"/>
    <cellStyle name="Примечание 5" xfId="72"/>
    <cellStyle name="Примечание 6" xfId="73"/>
    <cellStyle name="Примечание 7" xfId="74"/>
    <cellStyle name="Примечание 8" xfId="75"/>
    <cellStyle name="Примечание 9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zoomScalePageLayoutView="0" workbookViewId="0" topLeftCell="A4">
      <selection activeCell="J19" sqref="J19"/>
    </sheetView>
  </sheetViews>
  <sheetFormatPr defaultColWidth="9.140625" defaultRowHeight="15"/>
  <cols>
    <col min="1" max="1" width="18.140625" style="183" customWidth="1"/>
    <col min="2" max="2" width="14.00390625" style="183" customWidth="1"/>
    <col min="3" max="3" width="9.140625" style="183" customWidth="1"/>
    <col min="4" max="4" width="38.421875" style="183" customWidth="1"/>
    <col min="5" max="5" width="12.140625" style="184" customWidth="1"/>
    <col min="6" max="6" width="9.28125" style="183" bestFit="1" customWidth="1"/>
    <col min="7" max="16384" width="9.140625" style="183" customWidth="1"/>
  </cols>
  <sheetData>
    <row r="1" ht="12.75" hidden="1"/>
    <row r="2" spans="3:4" ht="15.75" customHeight="1" hidden="1">
      <c r="C2" s="184"/>
      <c r="D2" s="290"/>
    </row>
    <row r="3" spans="3:4" ht="12.75" customHeight="1" hidden="1">
      <c r="C3" s="184"/>
      <c r="D3" s="284"/>
    </row>
    <row r="4" spans="3:5" ht="17.25" customHeight="1">
      <c r="C4" s="184"/>
      <c r="D4" s="289" t="s">
        <v>731</v>
      </c>
      <c r="E4" s="289"/>
    </row>
    <row r="5" spans="3:5" ht="12.75" customHeight="1">
      <c r="C5" s="184"/>
      <c r="D5" s="288" t="s">
        <v>730</v>
      </c>
      <c r="E5" s="287"/>
    </row>
    <row r="6" spans="3:5" ht="12.75" customHeight="1">
      <c r="C6" s="184"/>
      <c r="D6" s="288" t="s">
        <v>729</v>
      </c>
      <c r="E6" s="287"/>
    </row>
    <row r="7" spans="3:5" ht="12.75" customHeight="1">
      <c r="C7" s="184"/>
      <c r="D7" s="288" t="s">
        <v>536</v>
      </c>
      <c r="E7" s="287"/>
    </row>
    <row r="8" spans="3:5" ht="12.75" customHeight="1">
      <c r="C8" s="184"/>
      <c r="D8" s="286"/>
      <c r="E8" s="285"/>
    </row>
    <row r="9" spans="3:4" ht="12.75">
      <c r="C9" s="184"/>
      <c r="D9" s="284"/>
    </row>
    <row r="10" spans="1:5" ht="15.75">
      <c r="A10" s="283" t="s">
        <v>728</v>
      </c>
      <c r="B10" s="283"/>
      <c r="C10" s="283"/>
      <c r="D10" s="283"/>
      <c r="E10" s="282"/>
    </row>
    <row r="11" spans="1:4" ht="15.75" hidden="1">
      <c r="A11" s="281"/>
      <c r="B11" s="281"/>
      <c r="C11" s="281"/>
      <c r="D11" s="281"/>
    </row>
    <row r="12" spans="1:5" ht="12.75">
      <c r="A12" s="280"/>
      <c r="B12" s="280"/>
      <c r="C12" s="280"/>
      <c r="D12" s="280"/>
      <c r="E12" s="279" t="s">
        <v>98</v>
      </c>
    </row>
    <row r="13" spans="1:5" ht="33.75">
      <c r="A13" s="275" t="s">
        <v>727</v>
      </c>
      <c r="B13" s="278" t="s">
        <v>726</v>
      </c>
      <c r="C13" s="277"/>
      <c r="D13" s="276"/>
      <c r="E13" s="275" t="s">
        <v>725</v>
      </c>
    </row>
    <row r="14" spans="1:5" ht="12.75">
      <c r="A14" s="271">
        <v>1</v>
      </c>
      <c r="B14" s="274">
        <v>2</v>
      </c>
      <c r="C14" s="273"/>
      <c r="D14" s="272"/>
      <c r="E14" s="271">
        <v>3</v>
      </c>
    </row>
    <row r="15" spans="1:5" ht="24" customHeight="1">
      <c r="A15" s="234" t="s">
        <v>724</v>
      </c>
      <c r="B15" s="232" t="s">
        <v>723</v>
      </c>
      <c r="C15" s="231"/>
      <c r="D15" s="230"/>
      <c r="E15" s="204">
        <f>E16+E22+E26+E31+E35</f>
        <v>509751</v>
      </c>
    </row>
    <row r="16" spans="1:6" ht="20.25" customHeight="1">
      <c r="A16" s="233" t="s">
        <v>722</v>
      </c>
      <c r="B16" s="243" t="s">
        <v>721</v>
      </c>
      <c r="C16" s="242"/>
      <c r="D16" s="241"/>
      <c r="E16" s="245">
        <f>E17</f>
        <v>410621</v>
      </c>
      <c r="F16" s="244"/>
    </row>
    <row r="17" spans="1:5" ht="18.75" customHeight="1">
      <c r="A17" s="234" t="s">
        <v>720</v>
      </c>
      <c r="B17" s="266" t="s">
        <v>719</v>
      </c>
      <c r="C17" s="265"/>
      <c r="D17" s="264"/>
      <c r="E17" s="192">
        <f>E18+E19+E20+E21</f>
        <v>410621</v>
      </c>
    </row>
    <row r="18" spans="1:5" ht="56.25" customHeight="1">
      <c r="A18" s="234" t="s">
        <v>718</v>
      </c>
      <c r="B18" s="266" t="s">
        <v>717</v>
      </c>
      <c r="C18" s="265"/>
      <c r="D18" s="264"/>
      <c r="E18" s="192">
        <v>406815</v>
      </c>
    </row>
    <row r="19" spans="1:6" ht="93" customHeight="1">
      <c r="A19" s="234" t="s">
        <v>716</v>
      </c>
      <c r="B19" s="266" t="s">
        <v>715</v>
      </c>
      <c r="C19" s="265"/>
      <c r="D19" s="264"/>
      <c r="E19" s="192">
        <v>2855</v>
      </c>
      <c r="F19" s="270"/>
    </row>
    <row r="20" spans="1:5" ht="51" customHeight="1">
      <c r="A20" s="234" t="s">
        <v>714</v>
      </c>
      <c r="B20" s="266" t="s">
        <v>713</v>
      </c>
      <c r="C20" s="265"/>
      <c r="D20" s="264"/>
      <c r="E20" s="218">
        <v>761</v>
      </c>
    </row>
    <row r="21" spans="1:5" ht="68.25" customHeight="1">
      <c r="A21" s="234" t="s">
        <v>712</v>
      </c>
      <c r="B21" s="269" t="s">
        <v>711</v>
      </c>
      <c r="C21" s="268"/>
      <c r="D21" s="267"/>
      <c r="E21" s="218">
        <v>190</v>
      </c>
    </row>
    <row r="22" spans="1:6" ht="18.75" customHeight="1">
      <c r="A22" s="233" t="s">
        <v>710</v>
      </c>
      <c r="B22" s="243" t="s">
        <v>709</v>
      </c>
      <c r="C22" s="242"/>
      <c r="D22" s="241"/>
      <c r="E22" s="245">
        <f>E23+E24+E25</f>
        <v>69574</v>
      </c>
      <c r="F22" s="244"/>
    </row>
    <row r="23" spans="1:6" ht="20.25" customHeight="1">
      <c r="A23" s="196" t="s">
        <v>708</v>
      </c>
      <c r="B23" s="266" t="s">
        <v>707</v>
      </c>
      <c r="C23" s="265"/>
      <c r="D23" s="264"/>
      <c r="E23" s="218">
        <v>69175</v>
      </c>
      <c r="F23" s="184"/>
    </row>
    <row r="24" spans="1:6" ht="21" customHeight="1">
      <c r="A24" s="196" t="s">
        <v>706</v>
      </c>
      <c r="B24" s="226" t="s">
        <v>705</v>
      </c>
      <c r="C24" s="225"/>
      <c r="D24" s="224"/>
      <c r="E24" s="218">
        <v>84</v>
      </c>
      <c r="F24" s="184"/>
    </row>
    <row r="25" spans="1:6" ht="32.25" customHeight="1">
      <c r="A25" s="196" t="s">
        <v>704</v>
      </c>
      <c r="B25" s="195" t="s">
        <v>703</v>
      </c>
      <c r="C25" s="240"/>
      <c r="D25" s="239"/>
      <c r="E25" s="218">
        <v>315</v>
      </c>
      <c r="F25" s="184"/>
    </row>
    <row r="26" spans="1:6" ht="18" customHeight="1">
      <c r="A26" s="233" t="s">
        <v>702</v>
      </c>
      <c r="B26" s="243" t="s">
        <v>701</v>
      </c>
      <c r="C26" s="242"/>
      <c r="D26" s="241"/>
      <c r="E26" s="245">
        <f>E27+E28</f>
        <v>21141</v>
      </c>
      <c r="F26" s="244"/>
    </row>
    <row r="27" spans="1:6" ht="40.5" customHeight="1">
      <c r="A27" s="196" t="s">
        <v>700</v>
      </c>
      <c r="B27" s="266" t="s">
        <v>699</v>
      </c>
      <c r="C27" s="265"/>
      <c r="D27" s="264"/>
      <c r="E27" s="192">
        <v>8821</v>
      </c>
      <c r="F27" s="184"/>
    </row>
    <row r="28" spans="1:6" ht="20.25" customHeight="1">
      <c r="A28" s="234" t="s">
        <v>698</v>
      </c>
      <c r="B28" s="266" t="s">
        <v>697</v>
      </c>
      <c r="C28" s="265"/>
      <c r="D28" s="264"/>
      <c r="E28" s="192">
        <f>E29+E30</f>
        <v>12320</v>
      </c>
      <c r="F28" s="184"/>
    </row>
    <row r="29" spans="1:6" ht="38.25" customHeight="1">
      <c r="A29" s="234" t="s">
        <v>696</v>
      </c>
      <c r="B29" s="266" t="s">
        <v>695</v>
      </c>
      <c r="C29" s="265"/>
      <c r="D29" s="264"/>
      <c r="E29" s="263">
        <v>1947</v>
      </c>
      <c r="F29" s="184"/>
    </row>
    <row r="30" spans="1:6" ht="39.75" customHeight="1">
      <c r="A30" s="234" t="s">
        <v>694</v>
      </c>
      <c r="B30" s="266" t="s">
        <v>693</v>
      </c>
      <c r="C30" s="265"/>
      <c r="D30" s="264"/>
      <c r="E30" s="263">
        <v>10373</v>
      </c>
      <c r="F30" s="184"/>
    </row>
    <row r="31" spans="1:6" ht="18" customHeight="1">
      <c r="A31" s="233" t="s">
        <v>692</v>
      </c>
      <c r="B31" s="237" t="s">
        <v>691</v>
      </c>
      <c r="C31" s="236"/>
      <c r="D31" s="235"/>
      <c r="E31" s="228">
        <f>E32+E33+E34</f>
        <v>8415</v>
      </c>
      <c r="F31" s="227"/>
    </row>
    <row r="32" spans="1:6" ht="40.5" customHeight="1">
      <c r="A32" s="234" t="s">
        <v>690</v>
      </c>
      <c r="B32" s="226" t="s">
        <v>689</v>
      </c>
      <c r="C32" s="225"/>
      <c r="D32" s="224"/>
      <c r="E32" s="192">
        <v>8325</v>
      </c>
      <c r="F32" s="184"/>
    </row>
    <row r="33" spans="1:6" ht="25.5" customHeight="1">
      <c r="A33" s="234" t="s">
        <v>688</v>
      </c>
      <c r="B33" s="226" t="s">
        <v>687</v>
      </c>
      <c r="C33" s="225"/>
      <c r="D33" s="224"/>
      <c r="E33" s="192">
        <v>30</v>
      </c>
      <c r="F33" s="184"/>
    </row>
    <row r="34" spans="1:6" ht="72.75" customHeight="1">
      <c r="A34" s="262" t="s">
        <v>686</v>
      </c>
      <c r="B34" s="261" t="s">
        <v>685</v>
      </c>
      <c r="C34" s="260"/>
      <c r="D34" s="259"/>
      <c r="E34" s="192">
        <v>60</v>
      </c>
      <c r="F34" s="184"/>
    </row>
    <row r="35" spans="1:6" s="255" customFormat="1" ht="27" customHeight="1">
      <c r="A35" s="233" t="s">
        <v>684</v>
      </c>
      <c r="B35" s="237" t="s">
        <v>683</v>
      </c>
      <c r="C35" s="236"/>
      <c r="D35" s="235"/>
      <c r="E35" s="258">
        <v>0</v>
      </c>
      <c r="F35" s="257"/>
    </row>
    <row r="36" spans="1:6" s="255" customFormat="1" ht="16.5" customHeight="1" hidden="1">
      <c r="A36" s="234" t="s">
        <v>682</v>
      </c>
      <c r="B36" s="226" t="s">
        <v>681</v>
      </c>
      <c r="C36" s="225"/>
      <c r="D36" s="224"/>
      <c r="E36" s="218"/>
      <c r="F36" s="256"/>
    </row>
    <row r="37" spans="1:6" ht="17.25" customHeight="1" hidden="1">
      <c r="A37" s="234" t="s">
        <v>680</v>
      </c>
      <c r="B37" s="226" t="s">
        <v>679</v>
      </c>
      <c r="C37" s="225"/>
      <c r="D37" s="224"/>
      <c r="E37" s="218"/>
      <c r="F37" s="184"/>
    </row>
    <row r="38" spans="1:6" ht="17.25" customHeight="1" hidden="1">
      <c r="A38" s="234"/>
      <c r="B38" s="226" t="s">
        <v>678</v>
      </c>
      <c r="C38" s="225"/>
      <c r="D38" s="224"/>
      <c r="E38" s="218"/>
      <c r="F38" s="184"/>
    </row>
    <row r="39" spans="1:6" ht="16.5" customHeight="1">
      <c r="A39" s="233"/>
      <c r="B39" s="232" t="s">
        <v>677</v>
      </c>
      <c r="C39" s="231"/>
      <c r="D39" s="230"/>
      <c r="E39" s="228">
        <f>E40+E45+E51+E54+E58+E70</f>
        <v>194126</v>
      </c>
      <c r="F39" s="227"/>
    </row>
    <row r="40" spans="1:6" ht="37.5" customHeight="1">
      <c r="A40" s="233" t="s">
        <v>676</v>
      </c>
      <c r="B40" s="243" t="s">
        <v>675</v>
      </c>
      <c r="C40" s="242"/>
      <c r="D40" s="241"/>
      <c r="E40" s="254">
        <f>E41+E42+E43+E44</f>
        <v>64660</v>
      </c>
      <c r="F40" s="253"/>
    </row>
    <row r="41" spans="1:6" ht="64.5" customHeight="1">
      <c r="A41" s="196" t="s">
        <v>674</v>
      </c>
      <c r="B41" s="252" t="s">
        <v>673</v>
      </c>
      <c r="C41" s="251"/>
      <c r="D41" s="250"/>
      <c r="E41" s="192">
        <v>15000</v>
      </c>
      <c r="F41" s="184"/>
    </row>
    <row r="42" spans="1:6" ht="51" customHeight="1">
      <c r="A42" s="196" t="s">
        <v>672</v>
      </c>
      <c r="B42" s="252" t="s">
        <v>671</v>
      </c>
      <c r="C42" s="251"/>
      <c r="D42" s="250"/>
      <c r="E42" s="192">
        <v>320</v>
      </c>
      <c r="F42" s="184"/>
    </row>
    <row r="43" spans="1:6" ht="39" customHeight="1">
      <c r="A43" s="196" t="s">
        <v>670</v>
      </c>
      <c r="B43" s="226" t="s">
        <v>669</v>
      </c>
      <c r="C43" s="225"/>
      <c r="D43" s="224"/>
      <c r="E43" s="192">
        <v>220</v>
      </c>
      <c r="F43" s="184"/>
    </row>
    <row r="44" spans="1:6" ht="63" customHeight="1">
      <c r="A44" s="234" t="s">
        <v>668</v>
      </c>
      <c r="B44" s="226" t="s">
        <v>667</v>
      </c>
      <c r="C44" s="225"/>
      <c r="D44" s="224"/>
      <c r="E44" s="192">
        <v>49120</v>
      </c>
      <c r="F44" s="184"/>
    </row>
    <row r="45" spans="1:6" ht="17.25" customHeight="1">
      <c r="A45" s="233" t="s">
        <v>666</v>
      </c>
      <c r="B45" s="243" t="s">
        <v>665</v>
      </c>
      <c r="C45" s="242"/>
      <c r="D45" s="241"/>
      <c r="E45" s="245">
        <f>E46+E47+E48+E49+E50</f>
        <v>1644</v>
      </c>
      <c r="F45" s="244"/>
    </row>
    <row r="46" spans="1:6" ht="26.25" customHeight="1">
      <c r="A46" s="234" t="s">
        <v>664</v>
      </c>
      <c r="B46" s="226" t="s">
        <v>663</v>
      </c>
      <c r="C46" s="225"/>
      <c r="D46" s="224"/>
      <c r="E46" s="246">
        <v>21</v>
      </c>
      <c r="F46" s="184"/>
    </row>
    <row r="47" spans="1:6" ht="26.25" customHeight="1">
      <c r="A47" s="234" t="s">
        <v>662</v>
      </c>
      <c r="B47" s="226" t="s">
        <v>661</v>
      </c>
      <c r="C47" s="225"/>
      <c r="D47" s="224"/>
      <c r="E47" s="246">
        <v>13</v>
      </c>
      <c r="F47" s="184"/>
    </row>
    <row r="48" spans="1:6" ht="17.25" customHeight="1">
      <c r="A48" s="234" t="s">
        <v>660</v>
      </c>
      <c r="B48" s="226" t="s">
        <v>659</v>
      </c>
      <c r="C48" s="225"/>
      <c r="D48" s="224"/>
      <c r="E48" s="246">
        <v>184</v>
      </c>
      <c r="F48" s="184"/>
    </row>
    <row r="49" spans="1:6" ht="17.25" customHeight="1">
      <c r="A49" s="234" t="s">
        <v>658</v>
      </c>
      <c r="B49" s="226" t="s">
        <v>657</v>
      </c>
      <c r="C49" s="225"/>
      <c r="D49" s="224"/>
      <c r="E49" s="246">
        <v>238</v>
      </c>
      <c r="F49" s="184"/>
    </row>
    <row r="50" spans="1:6" ht="17.25" customHeight="1">
      <c r="A50" s="234" t="s">
        <v>656</v>
      </c>
      <c r="B50" s="226" t="s">
        <v>655</v>
      </c>
      <c r="C50" s="225"/>
      <c r="D50" s="224"/>
      <c r="E50" s="246">
        <v>1188</v>
      </c>
      <c r="F50" s="184"/>
    </row>
    <row r="51" spans="1:6" ht="26.25" customHeight="1">
      <c r="A51" s="233" t="s">
        <v>654</v>
      </c>
      <c r="B51" s="249" t="s">
        <v>653</v>
      </c>
      <c r="C51" s="248"/>
      <c r="D51" s="247"/>
      <c r="E51" s="245">
        <f>E53+E52</f>
        <v>785</v>
      </c>
      <c r="F51" s="244"/>
    </row>
    <row r="52" spans="1:6" ht="26.25" customHeight="1">
      <c r="A52" s="196" t="s">
        <v>652</v>
      </c>
      <c r="B52" s="195" t="s">
        <v>651</v>
      </c>
      <c r="C52" s="240"/>
      <c r="D52" s="239"/>
      <c r="E52" s="246">
        <v>535</v>
      </c>
      <c r="F52" s="184"/>
    </row>
    <row r="53" spans="1:6" ht="18.75" customHeight="1">
      <c r="A53" s="196" t="s">
        <v>650</v>
      </c>
      <c r="B53" s="195" t="s">
        <v>649</v>
      </c>
      <c r="C53" s="240"/>
      <c r="D53" s="239"/>
      <c r="E53" s="218">
        <v>250</v>
      </c>
      <c r="F53" s="184"/>
    </row>
    <row r="54" spans="1:6" ht="24.75" customHeight="1">
      <c r="A54" s="233" t="s">
        <v>648</v>
      </c>
      <c r="B54" s="243" t="s">
        <v>647</v>
      </c>
      <c r="C54" s="242"/>
      <c r="D54" s="241"/>
      <c r="E54" s="245">
        <f>E55+E56+E57</f>
        <v>122800</v>
      </c>
      <c r="F54" s="244"/>
    </row>
    <row r="55" spans="1:6" ht="66" customHeight="1">
      <c r="A55" s="196" t="s">
        <v>646</v>
      </c>
      <c r="B55" s="226" t="s">
        <v>645</v>
      </c>
      <c r="C55" s="225"/>
      <c r="D55" s="224"/>
      <c r="E55" s="192">
        <v>102800</v>
      </c>
      <c r="F55" s="184"/>
    </row>
    <row r="56" spans="1:6" ht="38.25" customHeight="1">
      <c r="A56" s="234" t="s">
        <v>644</v>
      </c>
      <c r="B56" s="226" t="s">
        <v>643</v>
      </c>
      <c r="C56" s="225"/>
      <c r="D56" s="224"/>
      <c r="E56" s="218">
        <v>15000</v>
      </c>
      <c r="F56" s="184"/>
    </row>
    <row r="57" spans="1:6" ht="39.75" customHeight="1">
      <c r="A57" s="234" t="s">
        <v>642</v>
      </c>
      <c r="B57" s="226" t="s">
        <v>641</v>
      </c>
      <c r="C57" s="225"/>
      <c r="D57" s="224"/>
      <c r="E57" s="192">
        <v>5000</v>
      </c>
      <c r="F57" s="184"/>
    </row>
    <row r="58" spans="1:6" ht="18" customHeight="1">
      <c r="A58" s="233" t="s">
        <v>640</v>
      </c>
      <c r="B58" s="243" t="s">
        <v>639</v>
      </c>
      <c r="C58" s="242"/>
      <c r="D58" s="241"/>
      <c r="E58" s="204">
        <f>E59+E60+E61+E62+E65+E66+E67+E68+E69</f>
        <v>4237</v>
      </c>
      <c r="F58" s="203"/>
    </row>
    <row r="59" spans="1:6" ht="65.25" customHeight="1">
      <c r="A59" s="234" t="s">
        <v>638</v>
      </c>
      <c r="B59" s="195" t="s">
        <v>637</v>
      </c>
      <c r="C59" s="240"/>
      <c r="D59" s="239"/>
      <c r="E59" s="192">
        <v>61</v>
      </c>
      <c r="F59" s="184"/>
    </row>
    <row r="60" spans="1:6" ht="39" customHeight="1">
      <c r="A60" s="234" t="s">
        <v>636</v>
      </c>
      <c r="B60" s="226" t="s">
        <v>635</v>
      </c>
      <c r="C60" s="225"/>
      <c r="D60" s="224"/>
      <c r="E60" s="192">
        <v>37</v>
      </c>
      <c r="F60" s="184"/>
    </row>
    <row r="61" spans="1:6" ht="54.75" customHeight="1">
      <c r="A61" s="234" t="s">
        <v>634</v>
      </c>
      <c r="B61" s="226" t="s">
        <v>633</v>
      </c>
      <c r="C61" s="225"/>
      <c r="D61" s="224"/>
      <c r="E61" s="192">
        <v>17</v>
      </c>
      <c r="F61" s="184"/>
    </row>
    <row r="62" spans="1:6" ht="68.25" customHeight="1">
      <c r="A62" s="196" t="s">
        <v>632</v>
      </c>
      <c r="B62" s="226" t="s">
        <v>631</v>
      </c>
      <c r="C62" s="225"/>
      <c r="D62" s="224"/>
      <c r="E62" s="192">
        <f>E63+E64</f>
        <v>109</v>
      </c>
      <c r="F62" s="184"/>
    </row>
    <row r="63" spans="1:6" ht="27.75" customHeight="1">
      <c r="A63" s="234" t="s">
        <v>630</v>
      </c>
      <c r="B63" s="226" t="s">
        <v>629</v>
      </c>
      <c r="C63" s="225"/>
      <c r="D63" s="224"/>
      <c r="E63" s="192">
        <v>30</v>
      </c>
      <c r="F63" s="184"/>
    </row>
    <row r="64" spans="1:6" ht="30" customHeight="1">
      <c r="A64" s="234" t="s">
        <v>628</v>
      </c>
      <c r="B64" s="226" t="s">
        <v>627</v>
      </c>
      <c r="C64" s="225"/>
      <c r="D64" s="224"/>
      <c r="E64" s="192">
        <v>79</v>
      </c>
      <c r="F64" s="184"/>
    </row>
    <row r="65" spans="1:6" ht="42.75" customHeight="1">
      <c r="A65" s="234" t="s">
        <v>626</v>
      </c>
      <c r="B65" s="226" t="s">
        <v>625</v>
      </c>
      <c r="C65" s="225"/>
      <c r="D65" s="224"/>
      <c r="E65" s="192">
        <v>600</v>
      </c>
      <c r="F65" s="184"/>
    </row>
    <row r="66" spans="1:6" ht="43.5" customHeight="1">
      <c r="A66" s="234" t="s">
        <v>624</v>
      </c>
      <c r="B66" s="226" t="s">
        <v>623</v>
      </c>
      <c r="C66" s="225"/>
      <c r="D66" s="224"/>
      <c r="E66" s="238">
        <v>30</v>
      </c>
      <c r="F66" s="184"/>
    </row>
    <row r="67" spans="1:6" ht="39.75" customHeight="1">
      <c r="A67" s="234" t="s">
        <v>622</v>
      </c>
      <c r="B67" s="226" t="s">
        <v>621</v>
      </c>
      <c r="C67" s="225"/>
      <c r="D67" s="224"/>
      <c r="E67" s="218">
        <v>20</v>
      </c>
      <c r="F67" s="184"/>
    </row>
    <row r="68" spans="1:6" ht="51" customHeight="1">
      <c r="A68" s="234" t="s">
        <v>620</v>
      </c>
      <c r="B68" s="226" t="s">
        <v>619</v>
      </c>
      <c r="C68" s="202"/>
      <c r="D68" s="201"/>
      <c r="E68" s="218">
        <v>72</v>
      </c>
      <c r="F68" s="184"/>
    </row>
    <row r="69" spans="1:6" ht="28.5" customHeight="1">
      <c r="A69" s="234" t="s">
        <v>618</v>
      </c>
      <c r="B69" s="226" t="s">
        <v>617</v>
      </c>
      <c r="C69" s="225"/>
      <c r="D69" s="224"/>
      <c r="E69" s="218">
        <v>3291</v>
      </c>
      <c r="F69" s="184"/>
    </row>
    <row r="70" spans="1:6" ht="16.5" customHeight="1">
      <c r="A70" s="233" t="s">
        <v>616</v>
      </c>
      <c r="B70" s="237" t="s">
        <v>615</v>
      </c>
      <c r="C70" s="236"/>
      <c r="D70" s="235"/>
      <c r="E70" s="228">
        <f>+E71</f>
        <v>0</v>
      </c>
      <c r="F70" s="227"/>
    </row>
    <row r="71" spans="1:6" ht="21" customHeight="1">
      <c r="A71" s="234" t="s">
        <v>614</v>
      </c>
      <c r="B71" s="226" t="s">
        <v>613</v>
      </c>
      <c r="C71" s="225"/>
      <c r="D71" s="224"/>
      <c r="E71" s="192">
        <v>0</v>
      </c>
      <c r="F71" s="184"/>
    </row>
    <row r="72" spans="1:6" ht="16.5" customHeight="1">
      <c r="A72" s="233"/>
      <c r="B72" s="232" t="s">
        <v>612</v>
      </c>
      <c r="C72" s="231"/>
      <c r="D72" s="230"/>
      <c r="E72" s="204">
        <f>E39+E15</f>
        <v>703877</v>
      </c>
      <c r="F72" s="203"/>
    </row>
    <row r="73" spans="1:6" ht="16.5" customHeight="1">
      <c r="A73" s="196" t="s">
        <v>611</v>
      </c>
      <c r="B73" s="229" t="s">
        <v>610</v>
      </c>
      <c r="C73" s="229"/>
      <c r="D73" s="229"/>
      <c r="E73" s="204">
        <f>E74+E100</f>
        <v>527191.9</v>
      </c>
      <c r="F73" s="203"/>
    </row>
    <row r="74" spans="1:6" ht="27" customHeight="1">
      <c r="A74" s="196" t="s">
        <v>609</v>
      </c>
      <c r="B74" s="229" t="s">
        <v>608</v>
      </c>
      <c r="C74" s="229"/>
      <c r="D74" s="229"/>
      <c r="E74" s="228">
        <f>E75+E76+E77+E80+E96</f>
        <v>568087</v>
      </c>
      <c r="F74" s="227"/>
    </row>
    <row r="75" spans="1:6" ht="28.5" customHeight="1">
      <c r="A75" s="196" t="s">
        <v>607</v>
      </c>
      <c r="B75" s="226" t="s">
        <v>606</v>
      </c>
      <c r="C75" s="225"/>
      <c r="D75" s="224"/>
      <c r="E75" s="192">
        <v>1885.2</v>
      </c>
      <c r="F75" s="184"/>
    </row>
    <row r="76" spans="1:6" ht="28.5" customHeight="1">
      <c r="A76" s="196" t="s">
        <v>605</v>
      </c>
      <c r="B76" s="226" t="s">
        <v>604</v>
      </c>
      <c r="C76" s="225"/>
      <c r="D76" s="224"/>
      <c r="E76" s="192">
        <v>96213.8</v>
      </c>
      <c r="F76" s="184"/>
    </row>
    <row r="77" spans="1:6" ht="28.5" customHeight="1">
      <c r="A77" s="200" t="s">
        <v>603</v>
      </c>
      <c r="B77" s="223" t="s">
        <v>602</v>
      </c>
      <c r="C77" s="222"/>
      <c r="D77" s="221"/>
      <c r="E77" s="204">
        <f>E78</f>
        <v>181302.6</v>
      </c>
      <c r="F77" s="203"/>
    </row>
    <row r="78" spans="1:6" ht="28.5" customHeight="1">
      <c r="A78" s="200" t="s">
        <v>600</v>
      </c>
      <c r="B78" s="223" t="s">
        <v>601</v>
      </c>
      <c r="C78" s="222"/>
      <c r="D78" s="221"/>
      <c r="E78" s="192">
        <f>E79</f>
        <v>181302.6</v>
      </c>
      <c r="F78" s="191"/>
    </row>
    <row r="79" spans="1:6" ht="33" customHeight="1">
      <c r="A79" s="196" t="s">
        <v>600</v>
      </c>
      <c r="B79" s="210" t="s">
        <v>599</v>
      </c>
      <c r="C79" s="217"/>
      <c r="D79" s="216"/>
      <c r="E79" s="192">
        <v>181302.6</v>
      </c>
      <c r="F79" s="191"/>
    </row>
    <row r="80" spans="1:6" ht="28.5" customHeight="1">
      <c r="A80" s="200" t="s">
        <v>598</v>
      </c>
      <c r="B80" s="223" t="s">
        <v>597</v>
      </c>
      <c r="C80" s="222"/>
      <c r="D80" s="221"/>
      <c r="E80" s="204">
        <f>E81+E82+E83+E84+E85+E86</f>
        <v>56416.00000000001</v>
      </c>
      <c r="F80" s="203"/>
    </row>
    <row r="81" spans="1:6" ht="28.5" customHeight="1">
      <c r="A81" s="196" t="s">
        <v>596</v>
      </c>
      <c r="B81" s="210" t="s">
        <v>595</v>
      </c>
      <c r="C81" s="220"/>
      <c r="D81" s="219"/>
      <c r="E81" s="218">
        <v>7199.5</v>
      </c>
      <c r="F81" s="184"/>
    </row>
    <row r="82" spans="1:6" ht="57" customHeight="1">
      <c r="A82" s="196" t="s">
        <v>594</v>
      </c>
      <c r="B82" s="210" t="s">
        <v>593</v>
      </c>
      <c r="C82" s="215"/>
      <c r="D82" s="214"/>
      <c r="E82" s="192">
        <v>1056</v>
      </c>
      <c r="F82" s="184"/>
    </row>
    <row r="83" spans="1:6" ht="57.75" customHeight="1">
      <c r="A83" s="196" t="s">
        <v>592</v>
      </c>
      <c r="B83" s="210" t="s">
        <v>591</v>
      </c>
      <c r="C83" s="217"/>
      <c r="D83" s="216"/>
      <c r="E83" s="192">
        <v>13665.4</v>
      </c>
      <c r="F83" s="184"/>
    </row>
    <row r="84" spans="1:6" ht="41.25" customHeight="1">
      <c r="A84" s="196" t="s">
        <v>590</v>
      </c>
      <c r="B84" s="210" t="s">
        <v>589</v>
      </c>
      <c r="C84" s="217"/>
      <c r="D84" s="216"/>
      <c r="E84" s="192">
        <v>20205.2</v>
      </c>
      <c r="F84" s="184"/>
    </row>
    <row r="85" spans="1:6" ht="58.5" customHeight="1">
      <c r="A85" s="196" t="s">
        <v>588</v>
      </c>
      <c r="B85" s="210" t="s">
        <v>587</v>
      </c>
      <c r="C85" s="215"/>
      <c r="D85" s="214"/>
      <c r="E85" s="192">
        <v>1494.9</v>
      </c>
      <c r="F85" s="184"/>
    </row>
    <row r="86" spans="1:6" ht="21.75" customHeight="1">
      <c r="A86" s="196" t="s">
        <v>577</v>
      </c>
      <c r="B86" s="213" t="s">
        <v>586</v>
      </c>
      <c r="C86" s="212"/>
      <c r="D86" s="211"/>
      <c r="E86" s="204">
        <f>E87+E88+E89+E90+E91+E92+E93+E94+E95</f>
        <v>12795</v>
      </c>
      <c r="F86" s="203"/>
    </row>
    <row r="87" spans="1:6" ht="28.5" customHeight="1">
      <c r="A87" s="196" t="s">
        <v>577</v>
      </c>
      <c r="B87" s="210" t="s">
        <v>585</v>
      </c>
      <c r="C87" s="209"/>
      <c r="D87" s="208"/>
      <c r="E87" s="192">
        <v>506.8</v>
      </c>
      <c r="F87" s="184"/>
    </row>
    <row r="88" spans="1:6" ht="40.5" customHeight="1">
      <c r="A88" s="196" t="s">
        <v>577</v>
      </c>
      <c r="B88" s="195" t="s">
        <v>584</v>
      </c>
      <c r="C88" s="207"/>
      <c r="D88" s="206"/>
      <c r="E88" s="192">
        <v>417.5</v>
      </c>
      <c r="F88" s="184"/>
    </row>
    <row r="89" spans="1:6" ht="41.25" customHeight="1">
      <c r="A89" s="196" t="s">
        <v>577</v>
      </c>
      <c r="B89" s="195" t="s">
        <v>583</v>
      </c>
      <c r="C89" s="207"/>
      <c r="D89" s="206"/>
      <c r="E89" s="192">
        <v>1487.5</v>
      </c>
      <c r="F89" s="184"/>
    </row>
    <row r="90" spans="1:6" ht="42" customHeight="1">
      <c r="A90" s="196" t="s">
        <v>577</v>
      </c>
      <c r="B90" s="195" t="s">
        <v>582</v>
      </c>
      <c r="C90" s="207"/>
      <c r="D90" s="206"/>
      <c r="E90" s="192">
        <v>2013.3</v>
      </c>
      <c r="F90" s="184"/>
    </row>
    <row r="91" spans="1:6" ht="79.5" customHeight="1">
      <c r="A91" s="196" t="s">
        <v>577</v>
      </c>
      <c r="B91" s="205" t="s">
        <v>581</v>
      </c>
      <c r="C91" s="202"/>
      <c r="D91" s="201"/>
      <c r="E91" s="192">
        <v>495.8</v>
      </c>
      <c r="F91" s="184"/>
    </row>
    <row r="92" spans="1:6" ht="31.5" customHeight="1">
      <c r="A92" s="196" t="s">
        <v>577</v>
      </c>
      <c r="B92" s="195" t="s">
        <v>580</v>
      </c>
      <c r="C92" s="202"/>
      <c r="D92" s="201"/>
      <c r="E92" s="192">
        <v>474.8</v>
      </c>
      <c r="F92" s="184"/>
    </row>
    <row r="93" spans="1:6" ht="42" customHeight="1">
      <c r="A93" s="196" t="s">
        <v>577</v>
      </c>
      <c r="B93" s="195" t="s">
        <v>579</v>
      </c>
      <c r="C93" s="202"/>
      <c r="D93" s="201"/>
      <c r="E93" s="192">
        <v>34.6</v>
      </c>
      <c r="F93" s="184"/>
    </row>
    <row r="94" spans="1:6" ht="42" customHeight="1">
      <c r="A94" s="196" t="s">
        <v>577</v>
      </c>
      <c r="B94" s="195" t="s">
        <v>578</v>
      </c>
      <c r="C94" s="202"/>
      <c r="D94" s="201"/>
      <c r="E94" s="192">
        <v>3781.5</v>
      </c>
      <c r="F94" s="184"/>
    </row>
    <row r="95" spans="1:6" ht="57.75" customHeight="1">
      <c r="A95" s="196" t="s">
        <v>577</v>
      </c>
      <c r="B95" s="195" t="s">
        <v>576</v>
      </c>
      <c r="C95" s="202"/>
      <c r="D95" s="201"/>
      <c r="E95" s="192">
        <v>3583.2</v>
      </c>
      <c r="F95" s="184"/>
    </row>
    <row r="96" spans="1:6" ht="22.5" customHeight="1">
      <c r="A96" s="200" t="s">
        <v>575</v>
      </c>
      <c r="B96" s="199" t="s">
        <v>574</v>
      </c>
      <c r="C96" s="198"/>
      <c r="D96" s="197"/>
      <c r="E96" s="204">
        <f>E97+E98</f>
        <v>232269.40000000002</v>
      </c>
      <c r="F96" s="203"/>
    </row>
    <row r="97" spans="1:6" ht="42" customHeight="1">
      <c r="A97" s="196" t="s">
        <v>573</v>
      </c>
      <c r="B97" s="195" t="s">
        <v>572</v>
      </c>
      <c r="C97" s="202"/>
      <c r="D97" s="201"/>
      <c r="E97" s="192">
        <v>132.7</v>
      </c>
      <c r="F97" s="184"/>
    </row>
    <row r="98" spans="1:6" ht="29.25" customHeight="1">
      <c r="A98" s="200" t="s">
        <v>570</v>
      </c>
      <c r="B98" s="199" t="s">
        <v>571</v>
      </c>
      <c r="C98" s="198"/>
      <c r="D98" s="197"/>
      <c r="E98" s="204">
        <f>E99</f>
        <v>232136.7</v>
      </c>
      <c r="F98" s="203"/>
    </row>
    <row r="99" spans="1:6" ht="61.5" customHeight="1">
      <c r="A99" s="196" t="s">
        <v>570</v>
      </c>
      <c r="B99" s="195" t="s">
        <v>569</v>
      </c>
      <c r="C99" s="202"/>
      <c r="D99" s="201"/>
      <c r="E99" s="192">
        <v>232136.7</v>
      </c>
      <c r="F99" s="191"/>
    </row>
    <row r="100" spans="1:6" ht="37.5" customHeight="1">
      <c r="A100" s="200" t="s">
        <v>568</v>
      </c>
      <c r="B100" s="199" t="s">
        <v>567</v>
      </c>
      <c r="C100" s="198"/>
      <c r="D100" s="197"/>
      <c r="E100" s="192">
        <f>E101</f>
        <v>-40895.1</v>
      </c>
      <c r="F100" s="191"/>
    </row>
    <row r="101" spans="1:7" ht="61.5" customHeight="1">
      <c r="A101" s="196" t="s">
        <v>566</v>
      </c>
      <c r="B101" s="195" t="s">
        <v>565</v>
      </c>
      <c r="C101" s="194"/>
      <c r="D101" s="193"/>
      <c r="E101" s="192">
        <v>-40895.1</v>
      </c>
      <c r="F101" s="191"/>
      <c r="G101" s="191"/>
    </row>
    <row r="102" spans="1:6" ht="12.75" customHeight="1">
      <c r="A102" s="190" t="s">
        <v>564</v>
      </c>
      <c r="B102" s="189"/>
      <c r="C102" s="189"/>
      <c r="D102" s="188"/>
      <c r="E102" s="187">
        <f>E73+E72</f>
        <v>1231068.9</v>
      </c>
      <c r="F102" s="186"/>
    </row>
    <row r="104" ht="12.75">
      <c r="E104" s="185"/>
    </row>
  </sheetData>
  <sheetProtection/>
  <mergeCells count="95">
    <mergeCell ref="B18:D18"/>
    <mergeCell ref="B30:D30"/>
    <mergeCell ref="B31:D31"/>
    <mergeCell ref="B32:D32"/>
    <mergeCell ref="B50:D50"/>
    <mergeCell ref="B33:D33"/>
    <mergeCell ref="B34:D34"/>
    <mergeCell ref="B35:D35"/>
    <mergeCell ref="B36:D36"/>
    <mergeCell ref="B25:D25"/>
    <mergeCell ref="D5:E5"/>
    <mergeCell ref="D6:E6"/>
    <mergeCell ref="D7:E7"/>
    <mergeCell ref="A10:E10"/>
    <mergeCell ref="A11:D11"/>
    <mergeCell ref="B19:D19"/>
    <mergeCell ref="B13:D13"/>
    <mergeCell ref="B14:D14"/>
    <mergeCell ref="B15:D15"/>
    <mergeCell ref="B17:D17"/>
    <mergeCell ref="B16:D16"/>
    <mergeCell ref="B20:D20"/>
    <mergeCell ref="B21:D21"/>
    <mergeCell ref="B27:D27"/>
    <mergeCell ref="B28:D28"/>
    <mergeCell ref="B29:D29"/>
    <mergeCell ref="B22:D22"/>
    <mergeCell ref="B23:D23"/>
    <mergeCell ref="B24:D24"/>
    <mergeCell ref="B26:D26"/>
    <mergeCell ref="B38:D38"/>
    <mergeCell ref="B39:D39"/>
    <mergeCell ref="B40:D40"/>
    <mergeCell ref="B41:D41"/>
    <mergeCell ref="B42:D42"/>
    <mergeCell ref="B37:D37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71:D71"/>
    <mergeCell ref="B56:D56"/>
    <mergeCell ref="B70:D70"/>
    <mergeCell ref="B57:D57"/>
    <mergeCell ref="B58:D58"/>
    <mergeCell ref="B59:D59"/>
    <mergeCell ref="B60:D60"/>
    <mergeCell ref="B61:D61"/>
    <mergeCell ref="B62:D62"/>
    <mergeCell ref="B75:D75"/>
    <mergeCell ref="B73:D73"/>
    <mergeCell ref="B74:D74"/>
    <mergeCell ref="B63:D63"/>
    <mergeCell ref="B64:D64"/>
    <mergeCell ref="B65:D65"/>
    <mergeCell ref="B66:D66"/>
    <mergeCell ref="B67:D67"/>
    <mergeCell ref="B68:D68"/>
    <mergeCell ref="B69:D69"/>
    <mergeCell ref="B76:D76"/>
    <mergeCell ref="B81:D81"/>
    <mergeCell ref="B82:D82"/>
    <mergeCell ref="B83:D83"/>
    <mergeCell ref="B86:D86"/>
    <mergeCell ref="B72:D72"/>
    <mergeCell ref="B78:D78"/>
    <mergeCell ref="B77:D77"/>
    <mergeCell ref="B80:D80"/>
    <mergeCell ref="B85:D85"/>
    <mergeCell ref="B79:D79"/>
    <mergeCell ref="B99:D99"/>
    <mergeCell ref="B94:D94"/>
    <mergeCell ref="B95:D95"/>
    <mergeCell ref="B90:D90"/>
    <mergeCell ref="B84:D84"/>
    <mergeCell ref="B96:D96"/>
    <mergeCell ref="B91:D91"/>
    <mergeCell ref="B92:D92"/>
    <mergeCell ref="B93:D93"/>
    <mergeCell ref="B100:D100"/>
    <mergeCell ref="B101:D101"/>
    <mergeCell ref="B97:D97"/>
    <mergeCell ref="A102:D102"/>
    <mergeCell ref="B98:D98"/>
    <mergeCell ref="B87:D87"/>
    <mergeCell ref="B88:D88"/>
    <mergeCell ref="B89:D89"/>
  </mergeCells>
  <printOptions horizontalCentered="1"/>
  <pageMargins left="0.1968503937007874" right="0" top="0.5905511811023623" bottom="0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08" customWidth="1"/>
    <col min="2" max="2" width="29.28125" style="308" customWidth="1"/>
    <col min="3" max="3" width="49.00390625" style="308" customWidth="1"/>
    <col min="4" max="16384" width="9.140625" style="308" customWidth="1"/>
  </cols>
  <sheetData>
    <row r="1" spans="1:5" ht="17.25" customHeight="1">
      <c r="A1" s="349"/>
      <c r="B1" s="349"/>
      <c r="C1" s="497" t="s">
        <v>880</v>
      </c>
      <c r="E1" s="377"/>
    </row>
    <row r="2" spans="1:3" ht="32.25" customHeight="1">
      <c r="A2" s="349"/>
      <c r="B2" s="349"/>
      <c r="C2" s="376" t="s">
        <v>529</v>
      </c>
    </row>
    <row r="3" spans="1:3" ht="17.25" customHeight="1">
      <c r="A3" s="349"/>
      <c r="B3" s="349"/>
      <c r="C3" s="376" t="s">
        <v>536</v>
      </c>
    </row>
    <row r="4" spans="1:3" ht="66.75" customHeight="1">
      <c r="A4" s="375" t="s">
        <v>879</v>
      </c>
      <c r="B4" s="375"/>
      <c r="C4" s="375"/>
    </row>
    <row r="5" spans="1:3" ht="42" customHeight="1">
      <c r="A5" s="374" t="s">
        <v>878</v>
      </c>
      <c r="B5" s="373"/>
      <c r="C5" s="372" t="s">
        <v>877</v>
      </c>
    </row>
    <row r="6" spans="1:3" ht="47.25" customHeight="1">
      <c r="A6" s="371" t="s">
        <v>876</v>
      </c>
      <c r="B6" s="371" t="s">
        <v>875</v>
      </c>
      <c r="C6" s="370"/>
    </row>
    <row r="7" spans="1:3" ht="14.25" customHeight="1">
      <c r="A7" s="336">
        <v>1</v>
      </c>
      <c r="B7" s="336">
        <v>2</v>
      </c>
      <c r="C7" s="369">
        <v>3</v>
      </c>
    </row>
    <row r="8" spans="1:3" ht="18.75" customHeight="1">
      <c r="A8" s="365" t="s">
        <v>445</v>
      </c>
      <c r="B8" s="336"/>
      <c r="C8" s="368" t="s">
        <v>515</v>
      </c>
    </row>
    <row r="9" spans="1:3" ht="35.25" customHeight="1">
      <c r="A9" s="366" t="s">
        <v>445</v>
      </c>
      <c r="B9" s="351" t="s">
        <v>819</v>
      </c>
      <c r="C9" s="352" t="s">
        <v>818</v>
      </c>
    </row>
    <row r="10" spans="1:8" ht="51.75" customHeight="1">
      <c r="A10" s="366" t="s">
        <v>445</v>
      </c>
      <c r="B10" s="351" t="s">
        <v>821</v>
      </c>
      <c r="C10" s="352" t="s">
        <v>820</v>
      </c>
      <c r="H10" s="367"/>
    </row>
    <row r="11" spans="1:3" ht="54.75" customHeight="1">
      <c r="A11" s="366" t="s">
        <v>445</v>
      </c>
      <c r="B11" s="351" t="s">
        <v>866</v>
      </c>
      <c r="C11" s="352" t="s">
        <v>865</v>
      </c>
    </row>
    <row r="12" spans="1:3" ht="40.5" customHeight="1">
      <c r="A12" s="365" t="s">
        <v>437</v>
      </c>
      <c r="B12" s="339"/>
      <c r="C12" s="359" t="s">
        <v>874</v>
      </c>
    </row>
    <row r="13" spans="1:3" ht="47.25" customHeight="1">
      <c r="A13" s="364" t="s">
        <v>437</v>
      </c>
      <c r="B13" s="360" t="s">
        <v>852</v>
      </c>
      <c r="C13" s="338" t="s">
        <v>851</v>
      </c>
    </row>
    <row r="14" spans="1:8" ht="53.25" customHeight="1">
      <c r="A14" s="337" t="s">
        <v>437</v>
      </c>
      <c r="B14" s="351" t="s">
        <v>873</v>
      </c>
      <c r="C14" s="352" t="s">
        <v>872</v>
      </c>
      <c r="F14" s="363"/>
      <c r="G14" s="362"/>
      <c r="H14" s="361"/>
    </row>
    <row r="15" spans="1:8" ht="49.5" customHeight="1">
      <c r="A15" s="355" t="s">
        <v>437</v>
      </c>
      <c r="B15" s="359" t="s">
        <v>843</v>
      </c>
      <c r="C15" s="356" t="s">
        <v>842</v>
      </c>
      <c r="F15" s="363"/>
      <c r="G15" s="362"/>
      <c r="H15" s="361"/>
    </row>
    <row r="16" spans="1:8" ht="37.5" customHeight="1">
      <c r="A16" s="337" t="s">
        <v>437</v>
      </c>
      <c r="B16" s="351" t="s">
        <v>819</v>
      </c>
      <c r="C16" s="352" t="s">
        <v>818</v>
      </c>
      <c r="F16" s="363"/>
      <c r="G16" s="362"/>
      <c r="H16" s="361"/>
    </row>
    <row r="17" spans="1:8" ht="26.25" customHeight="1">
      <c r="A17" s="355" t="s">
        <v>437</v>
      </c>
      <c r="B17" s="359" t="s">
        <v>871</v>
      </c>
      <c r="C17" s="356" t="s">
        <v>870</v>
      </c>
      <c r="F17" s="363"/>
      <c r="G17" s="362"/>
      <c r="H17" s="361"/>
    </row>
    <row r="18" spans="1:8" ht="102.75" customHeight="1">
      <c r="A18" s="337" t="s">
        <v>437</v>
      </c>
      <c r="B18" s="351" t="s">
        <v>808</v>
      </c>
      <c r="C18" s="352" t="s">
        <v>869</v>
      </c>
      <c r="F18" s="363"/>
      <c r="G18" s="362"/>
      <c r="H18" s="361"/>
    </row>
    <row r="19" spans="1:8" ht="84.75" customHeight="1">
      <c r="A19" s="337" t="s">
        <v>437</v>
      </c>
      <c r="B19" s="351" t="s">
        <v>868</v>
      </c>
      <c r="C19" s="352" t="s">
        <v>867</v>
      </c>
      <c r="F19" s="363"/>
      <c r="G19" s="362"/>
      <c r="H19" s="361"/>
    </row>
    <row r="20" spans="1:3" ht="56.25" customHeight="1">
      <c r="A20" s="337" t="s">
        <v>437</v>
      </c>
      <c r="B20" s="351" t="s">
        <v>866</v>
      </c>
      <c r="C20" s="352" t="s">
        <v>865</v>
      </c>
    </row>
    <row r="21" spans="1:3" ht="16.5" customHeight="1">
      <c r="A21" s="355" t="s">
        <v>437</v>
      </c>
      <c r="B21" s="359" t="s">
        <v>864</v>
      </c>
      <c r="C21" s="356" t="s">
        <v>863</v>
      </c>
    </row>
    <row r="22" spans="1:3" ht="31.5" customHeight="1">
      <c r="A22" s="337" t="s">
        <v>437</v>
      </c>
      <c r="B22" s="351" t="s">
        <v>862</v>
      </c>
      <c r="C22" s="352" t="s">
        <v>861</v>
      </c>
    </row>
    <row r="23" spans="1:3" ht="35.25" customHeight="1">
      <c r="A23" s="337" t="s">
        <v>437</v>
      </c>
      <c r="B23" s="351" t="s">
        <v>806</v>
      </c>
      <c r="C23" s="350" t="s">
        <v>805</v>
      </c>
    </row>
    <row r="24" spans="1:3" ht="18.75" customHeight="1">
      <c r="A24" s="355" t="s">
        <v>437</v>
      </c>
      <c r="B24" s="359" t="s">
        <v>860</v>
      </c>
      <c r="C24" s="356" t="s">
        <v>859</v>
      </c>
    </row>
    <row r="25" spans="1:3" ht="45.75" customHeight="1">
      <c r="A25" s="353" t="s">
        <v>420</v>
      </c>
      <c r="B25" s="351"/>
      <c r="C25" s="338" t="s">
        <v>858</v>
      </c>
    </row>
    <row r="26" spans="1:3" ht="24.75" customHeight="1">
      <c r="A26" s="353" t="s">
        <v>420</v>
      </c>
      <c r="B26" s="359" t="s">
        <v>857</v>
      </c>
      <c r="C26" s="338" t="s">
        <v>856</v>
      </c>
    </row>
    <row r="27" spans="1:3" ht="47.25">
      <c r="A27" s="337" t="s">
        <v>420</v>
      </c>
      <c r="B27" s="351" t="s">
        <v>855</v>
      </c>
      <c r="C27" s="357" t="s">
        <v>853</v>
      </c>
    </row>
    <row r="28" spans="1:3" ht="47.25">
      <c r="A28" s="337" t="s">
        <v>420</v>
      </c>
      <c r="B28" s="351" t="s">
        <v>854</v>
      </c>
      <c r="C28" s="357" t="s">
        <v>853</v>
      </c>
    </row>
    <row r="29" spans="1:3" ht="47.25">
      <c r="A29" s="353" t="s">
        <v>420</v>
      </c>
      <c r="B29" s="360" t="s">
        <v>852</v>
      </c>
      <c r="C29" s="338" t="s">
        <v>851</v>
      </c>
    </row>
    <row r="30" spans="1:3" ht="109.5" customHeight="1">
      <c r="A30" s="337" t="s">
        <v>420</v>
      </c>
      <c r="B30" s="351" t="s">
        <v>828</v>
      </c>
      <c r="C30" s="357" t="s">
        <v>850</v>
      </c>
    </row>
    <row r="31" spans="1:3" ht="110.25">
      <c r="A31" s="337" t="s">
        <v>420</v>
      </c>
      <c r="B31" s="351" t="s">
        <v>849</v>
      </c>
      <c r="C31" s="357" t="s">
        <v>848</v>
      </c>
    </row>
    <row r="32" spans="1:3" ht="109.5" customHeight="1">
      <c r="A32" s="337" t="s">
        <v>420</v>
      </c>
      <c r="B32" s="351" t="s">
        <v>847</v>
      </c>
      <c r="C32" s="357" t="s">
        <v>846</v>
      </c>
    </row>
    <row r="33" spans="1:3" ht="78.75">
      <c r="A33" s="337" t="s">
        <v>420</v>
      </c>
      <c r="B33" s="351" t="s">
        <v>845</v>
      </c>
      <c r="C33" s="352" t="s">
        <v>844</v>
      </c>
    </row>
    <row r="34" spans="1:3" ht="48" customHeight="1">
      <c r="A34" s="355" t="s">
        <v>420</v>
      </c>
      <c r="B34" s="359" t="s">
        <v>843</v>
      </c>
      <c r="C34" s="356" t="s">
        <v>842</v>
      </c>
    </row>
    <row r="35" spans="1:3" ht="47.25">
      <c r="A35" s="337" t="s">
        <v>420</v>
      </c>
      <c r="B35" s="351" t="s">
        <v>821</v>
      </c>
      <c r="C35" s="352" t="s">
        <v>820</v>
      </c>
    </row>
    <row r="36" spans="1:3" ht="31.5">
      <c r="A36" s="355" t="s">
        <v>420</v>
      </c>
      <c r="B36" s="359" t="s">
        <v>841</v>
      </c>
      <c r="C36" s="359" t="s">
        <v>840</v>
      </c>
    </row>
    <row r="37" spans="1:3" ht="128.25" customHeight="1">
      <c r="A37" s="337" t="s">
        <v>420</v>
      </c>
      <c r="B37" s="351" t="s">
        <v>839</v>
      </c>
      <c r="C37" s="351" t="s">
        <v>838</v>
      </c>
    </row>
    <row r="38" spans="1:3" ht="126">
      <c r="A38" s="337" t="s">
        <v>420</v>
      </c>
      <c r="B38" s="351" t="s">
        <v>837</v>
      </c>
      <c r="C38" s="351" t="s">
        <v>836</v>
      </c>
    </row>
    <row r="39" spans="1:3" ht="63">
      <c r="A39" s="337" t="s">
        <v>420</v>
      </c>
      <c r="B39" s="351" t="s">
        <v>835</v>
      </c>
      <c r="C39" s="357" t="s">
        <v>834</v>
      </c>
    </row>
    <row r="40" spans="1:3" ht="79.5" customHeight="1">
      <c r="A40" s="337" t="s">
        <v>420</v>
      </c>
      <c r="B40" s="351" t="s">
        <v>833</v>
      </c>
      <c r="C40" s="357" t="s">
        <v>832</v>
      </c>
    </row>
    <row r="41" spans="1:3" ht="51" customHeight="1">
      <c r="A41" s="353" t="s">
        <v>341</v>
      </c>
      <c r="B41" s="351"/>
      <c r="C41" s="338" t="s">
        <v>831</v>
      </c>
    </row>
    <row r="42" spans="1:3" ht="126.75" customHeight="1">
      <c r="A42" s="358" t="s">
        <v>341</v>
      </c>
      <c r="B42" s="351" t="s">
        <v>830</v>
      </c>
      <c r="C42" s="357" t="s">
        <v>829</v>
      </c>
    </row>
    <row r="43" spans="1:3" ht="111" customHeight="1">
      <c r="A43" s="358" t="s">
        <v>341</v>
      </c>
      <c r="B43" s="351" t="s">
        <v>828</v>
      </c>
      <c r="C43" s="357" t="s">
        <v>827</v>
      </c>
    </row>
    <row r="44" spans="1:3" ht="63.75" customHeight="1">
      <c r="A44" s="353" t="s">
        <v>330</v>
      </c>
      <c r="B44" s="351"/>
      <c r="C44" s="338" t="s">
        <v>826</v>
      </c>
    </row>
    <row r="45" spans="1:3" ht="50.25" customHeight="1">
      <c r="A45" s="337" t="s">
        <v>330</v>
      </c>
      <c r="B45" s="351" t="s">
        <v>821</v>
      </c>
      <c r="C45" s="352" t="s">
        <v>820</v>
      </c>
    </row>
    <row r="46" spans="1:3" ht="39" customHeight="1">
      <c r="A46" s="337" t="s">
        <v>330</v>
      </c>
      <c r="B46" s="351" t="s">
        <v>819</v>
      </c>
      <c r="C46" s="352" t="s">
        <v>818</v>
      </c>
    </row>
    <row r="47" spans="1:3" ht="52.5" customHeight="1">
      <c r="A47" s="355" t="s">
        <v>315</v>
      </c>
      <c r="B47" s="351"/>
      <c r="C47" s="356" t="s">
        <v>825</v>
      </c>
    </row>
    <row r="48" spans="1:3" ht="39" customHeight="1">
      <c r="A48" s="337" t="s">
        <v>315</v>
      </c>
      <c r="B48" s="351" t="s">
        <v>806</v>
      </c>
      <c r="C48" s="350" t="s">
        <v>805</v>
      </c>
    </row>
    <row r="49" spans="1:3" ht="47.25" customHeight="1">
      <c r="A49" s="355" t="s">
        <v>178</v>
      </c>
      <c r="B49" s="351"/>
      <c r="C49" s="354" t="s">
        <v>824</v>
      </c>
    </row>
    <row r="50" spans="1:3" ht="39" customHeight="1">
      <c r="A50" s="337" t="s">
        <v>178</v>
      </c>
      <c r="B50" s="351" t="s">
        <v>806</v>
      </c>
      <c r="C50" s="350" t="s">
        <v>805</v>
      </c>
    </row>
    <row r="51" spans="1:3" ht="48.75" customHeight="1">
      <c r="A51" s="353" t="s">
        <v>303</v>
      </c>
      <c r="B51" s="351"/>
      <c r="C51" s="338" t="s">
        <v>823</v>
      </c>
    </row>
    <row r="52" spans="1:3" ht="47.25" customHeight="1">
      <c r="A52" s="337" t="s">
        <v>303</v>
      </c>
      <c r="B52" s="351" t="s">
        <v>821</v>
      </c>
      <c r="C52" s="352" t="s">
        <v>820</v>
      </c>
    </row>
    <row r="53" spans="1:3" ht="39" customHeight="1">
      <c r="A53" s="353" t="s">
        <v>105</v>
      </c>
      <c r="B53" s="351"/>
      <c r="C53" s="338" t="s">
        <v>822</v>
      </c>
    </row>
    <row r="54" spans="1:3" ht="47.25" customHeight="1">
      <c r="A54" s="337" t="s">
        <v>105</v>
      </c>
      <c r="B54" s="351" t="s">
        <v>821</v>
      </c>
      <c r="C54" s="352" t="s">
        <v>820</v>
      </c>
    </row>
    <row r="55" spans="1:3" ht="36.75" customHeight="1">
      <c r="A55" s="337" t="s">
        <v>105</v>
      </c>
      <c r="B55" s="351" t="s">
        <v>819</v>
      </c>
      <c r="C55" s="352" t="s">
        <v>818</v>
      </c>
    </row>
    <row r="56" spans="1:3" ht="63" customHeight="1">
      <c r="A56" s="337" t="s">
        <v>105</v>
      </c>
      <c r="B56" s="351" t="s">
        <v>817</v>
      </c>
      <c r="C56" s="352" t="s">
        <v>816</v>
      </c>
    </row>
    <row r="57" spans="1:3" ht="63" customHeight="1">
      <c r="A57" s="337" t="s">
        <v>105</v>
      </c>
      <c r="B57" s="351" t="s">
        <v>815</v>
      </c>
      <c r="C57" s="352" t="s">
        <v>814</v>
      </c>
    </row>
    <row r="58" spans="1:3" ht="63.75" customHeight="1">
      <c r="A58" s="337" t="s">
        <v>105</v>
      </c>
      <c r="B58" s="351" t="s">
        <v>813</v>
      </c>
      <c r="C58" s="352" t="s">
        <v>812</v>
      </c>
    </row>
    <row r="59" spans="1:3" ht="39" customHeight="1">
      <c r="A59" s="337" t="s">
        <v>105</v>
      </c>
      <c r="B59" s="351" t="s">
        <v>811</v>
      </c>
      <c r="C59" s="352" t="s">
        <v>810</v>
      </c>
    </row>
    <row r="60" spans="1:3" ht="79.5" customHeight="1">
      <c r="A60" s="353" t="s">
        <v>555</v>
      </c>
      <c r="B60" s="351"/>
      <c r="C60" s="338" t="s">
        <v>809</v>
      </c>
    </row>
    <row r="61" spans="1:3" ht="77.25" customHeight="1">
      <c r="A61" s="337" t="s">
        <v>555</v>
      </c>
      <c r="B61" s="351" t="s">
        <v>808</v>
      </c>
      <c r="C61" s="352" t="s">
        <v>807</v>
      </c>
    </row>
    <row r="62" spans="1:3" ht="35.25" customHeight="1">
      <c r="A62" s="337" t="s">
        <v>555</v>
      </c>
      <c r="B62" s="351" t="s">
        <v>806</v>
      </c>
      <c r="C62" s="350" t="s">
        <v>805</v>
      </c>
    </row>
    <row r="63" spans="1:3" ht="15.75">
      <c r="A63" s="349"/>
      <c r="B63" s="349"/>
      <c r="C63" s="349"/>
    </row>
    <row r="64" spans="1:3" ht="21" customHeight="1">
      <c r="A64" s="348" t="s">
        <v>804</v>
      </c>
      <c r="B64" s="347"/>
      <c r="C64" s="347"/>
    </row>
    <row r="65" spans="1:3" ht="18" customHeight="1">
      <c r="A65" s="348" t="s">
        <v>803</v>
      </c>
      <c r="B65" s="347"/>
      <c r="C65" s="347"/>
    </row>
    <row r="66" spans="1:3" ht="20.25" customHeight="1">
      <c r="A66" s="348" t="s">
        <v>802</v>
      </c>
      <c r="B66" s="347"/>
      <c r="C66" s="347"/>
    </row>
    <row r="67" spans="1:3" ht="12.75">
      <c r="A67" s="346"/>
      <c r="B67" s="346"/>
      <c r="C67" s="346"/>
    </row>
  </sheetData>
  <sheetProtection/>
  <mergeCells count="6">
    <mergeCell ref="A4:C4"/>
    <mergeCell ref="A5:B5"/>
    <mergeCell ref="C5:C6"/>
    <mergeCell ref="A64:C64"/>
    <mergeCell ref="A65:C65"/>
    <mergeCell ref="A66:C66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  <oddFooter>&amp;C&amp;"Times New Roman,обычный"&amp;13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308" customWidth="1"/>
    <col min="2" max="2" width="27.421875" style="308" customWidth="1"/>
    <col min="3" max="3" width="56.57421875" style="308" customWidth="1"/>
    <col min="4" max="16384" width="9.140625" style="308" customWidth="1"/>
  </cols>
  <sheetData>
    <row r="1" ht="18" customHeight="1">
      <c r="C1" s="405" t="s">
        <v>982</v>
      </c>
    </row>
    <row r="2" ht="31.5" customHeight="1">
      <c r="C2" s="404" t="s">
        <v>981</v>
      </c>
    </row>
    <row r="3" ht="15">
      <c r="C3" s="404" t="s">
        <v>536</v>
      </c>
    </row>
    <row r="4" spans="1:3" ht="90" customHeight="1">
      <c r="A4" s="403" t="s">
        <v>980</v>
      </c>
      <c r="B4" s="403"/>
      <c r="C4" s="403"/>
    </row>
    <row r="5" spans="1:3" ht="15.75" customHeight="1">
      <c r="A5" s="402"/>
      <c r="B5" s="402"/>
      <c r="C5" s="402"/>
    </row>
    <row r="7" spans="1:3" ht="35.25" customHeight="1">
      <c r="A7" s="374" t="s">
        <v>878</v>
      </c>
      <c r="B7" s="401"/>
      <c r="C7" s="372" t="s">
        <v>877</v>
      </c>
    </row>
    <row r="8" spans="1:3" ht="49.5" customHeight="1">
      <c r="A8" s="400" t="s">
        <v>876</v>
      </c>
      <c r="B8" s="400" t="s">
        <v>875</v>
      </c>
      <c r="C8" s="370"/>
    </row>
    <row r="9" spans="1:3" ht="14.25" customHeight="1">
      <c r="A9" s="336">
        <v>1</v>
      </c>
      <c r="B9" s="336">
        <v>2</v>
      </c>
      <c r="C9" s="336">
        <v>3</v>
      </c>
    </row>
    <row r="10" spans="1:3" ht="60.75" customHeight="1">
      <c r="A10" s="386" t="s">
        <v>976</v>
      </c>
      <c r="B10" s="397"/>
      <c r="C10" s="384" t="s">
        <v>979</v>
      </c>
    </row>
    <row r="11" spans="1:3" ht="96.75" customHeight="1">
      <c r="A11" s="383" t="s">
        <v>976</v>
      </c>
      <c r="B11" s="351" t="s">
        <v>978</v>
      </c>
      <c r="C11" s="350" t="s">
        <v>977</v>
      </c>
    </row>
    <row r="12" spans="1:3" ht="47.25" customHeight="1">
      <c r="A12" s="383" t="s">
        <v>976</v>
      </c>
      <c r="B12" s="351" t="s">
        <v>905</v>
      </c>
      <c r="C12" s="352" t="s">
        <v>865</v>
      </c>
    </row>
    <row r="13" spans="1:3" ht="36.75" customHeight="1">
      <c r="A13" s="386" t="s">
        <v>968</v>
      </c>
      <c r="B13" s="351"/>
      <c r="C13" s="356" t="s">
        <v>975</v>
      </c>
    </row>
    <row r="14" spans="1:3" ht="40.5" customHeight="1">
      <c r="A14" s="383" t="s">
        <v>968</v>
      </c>
      <c r="B14" s="351" t="s">
        <v>974</v>
      </c>
      <c r="C14" s="352" t="s">
        <v>973</v>
      </c>
    </row>
    <row r="15" spans="1:3" ht="40.5" customHeight="1">
      <c r="A15" s="383" t="s">
        <v>968</v>
      </c>
      <c r="B15" s="385" t="s">
        <v>972</v>
      </c>
      <c r="C15" s="351" t="s">
        <v>661</v>
      </c>
    </row>
    <row r="16" spans="1:3" ht="40.5" customHeight="1">
      <c r="A16" s="383" t="s">
        <v>968</v>
      </c>
      <c r="B16" s="385" t="s">
        <v>971</v>
      </c>
      <c r="C16" s="351" t="s">
        <v>659</v>
      </c>
    </row>
    <row r="17" spans="1:3" ht="40.5" customHeight="1">
      <c r="A17" s="383" t="s">
        <v>968</v>
      </c>
      <c r="B17" s="385" t="s">
        <v>970</v>
      </c>
      <c r="C17" s="351" t="s">
        <v>657</v>
      </c>
    </row>
    <row r="18" spans="1:3" ht="40.5" customHeight="1">
      <c r="A18" s="383" t="s">
        <v>968</v>
      </c>
      <c r="B18" s="385" t="s">
        <v>969</v>
      </c>
      <c r="C18" s="351" t="s">
        <v>733</v>
      </c>
    </row>
    <row r="19" spans="1:3" ht="48" customHeight="1">
      <c r="A19" s="383" t="s">
        <v>968</v>
      </c>
      <c r="B19" s="351" t="s">
        <v>889</v>
      </c>
      <c r="C19" s="352" t="s">
        <v>865</v>
      </c>
    </row>
    <row r="20" spans="1:3" ht="30.75" customHeight="1">
      <c r="A20" s="386" t="s">
        <v>964</v>
      </c>
      <c r="B20" s="351"/>
      <c r="C20" s="384" t="s">
        <v>967</v>
      </c>
    </row>
    <row r="21" spans="1:3" ht="45.75" customHeight="1">
      <c r="A21" s="383" t="s">
        <v>964</v>
      </c>
      <c r="B21" s="351" t="s">
        <v>966</v>
      </c>
      <c r="C21" s="382" t="s">
        <v>965</v>
      </c>
    </row>
    <row r="22" spans="1:3" ht="31.5" customHeight="1">
      <c r="A22" s="383" t="s">
        <v>964</v>
      </c>
      <c r="B22" s="351" t="s">
        <v>900</v>
      </c>
      <c r="C22" s="350" t="s">
        <v>899</v>
      </c>
    </row>
    <row r="23" spans="1:3" ht="47.25" customHeight="1">
      <c r="A23" s="383" t="s">
        <v>964</v>
      </c>
      <c r="B23" s="351" t="s">
        <v>889</v>
      </c>
      <c r="C23" s="352" t="s">
        <v>865</v>
      </c>
    </row>
    <row r="24" spans="1:3" ht="30.75" customHeight="1">
      <c r="A24" s="386" t="s">
        <v>962</v>
      </c>
      <c r="B24" s="351"/>
      <c r="C24" s="356" t="s">
        <v>963</v>
      </c>
    </row>
    <row r="25" spans="1:3" ht="48" customHeight="1">
      <c r="A25" s="383" t="s">
        <v>962</v>
      </c>
      <c r="B25" s="351" t="s">
        <v>905</v>
      </c>
      <c r="C25" s="352" t="s">
        <v>865</v>
      </c>
    </row>
    <row r="26" spans="1:3" ht="30.75" customHeight="1">
      <c r="A26" s="386" t="s">
        <v>960</v>
      </c>
      <c r="B26" s="397"/>
      <c r="C26" s="384" t="s">
        <v>961</v>
      </c>
    </row>
    <row r="27" spans="1:3" ht="47.25">
      <c r="A27" s="383" t="s">
        <v>960</v>
      </c>
      <c r="B27" s="351" t="s">
        <v>905</v>
      </c>
      <c r="C27" s="352" t="s">
        <v>865</v>
      </c>
    </row>
    <row r="28" spans="1:3" ht="31.5">
      <c r="A28" s="386" t="s">
        <v>958</v>
      </c>
      <c r="B28" s="351"/>
      <c r="C28" s="356" t="s">
        <v>959</v>
      </c>
    </row>
    <row r="29" spans="1:3" ht="47.25">
      <c r="A29" s="383" t="s">
        <v>958</v>
      </c>
      <c r="B29" s="351" t="s">
        <v>905</v>
      </c>
      <c r="C29" s="352" t="s">
        <v>865</v>
      </c>
    </row>
    <row r="30" spans="1:3" ht="47.25">
      <c r="A30" s="386" t="s">
        <v>956</v>
      </c>
      <c r="B30" s="351"/>
      <c r="C30" s="356" t="s">
        <v>957</v>
      </c>
    </row>
    <row r="31" spans="1:5" ht="63.75" customHeight="1">
      <c r="A31" s="383" t="s">
        <v>956</v>
      </c>
      <c r="B31" s="385" t="s">
        <v>955</v>
      </c>
      <c r="C31" s="339" t="s">
        <v>954</v>
      </c>
      <c r="D31" s="390"/>
      <c r="E31" s="390"/>
    </row>
    <row r="32" spans="1:5" ht="24.75" customHeight="1">
      <c r="A32" s="394" t="s">
        <v>952</v>
      </c>
      <c r="B32" s="399"/>
      <c r="C32" s="398" t="s">
        <v>953</v>
      </c>
      <c r="D32" s="390"/>
      <c r="E32" s="390"/>
    </row>
    <row r="33" spans="1:5" ht="51.75" customHeight="1">
      <c r="A33" s="383" t="s">
        <v>952</v>
      </c>
      <c r="B33" s="351" t="s">
        <v>905</v>
      </c>
      <c r="C33" s="352" t="s">
        <v>865</v>
      </c>
      <c r="D33" s="390"/>
      <c r="E33" s="390"/>
    </row>
    <row r="34" spans="1:3" ht="15.75">
      <c r="A34" s="386" t="s">
        <v>950</v>
      </c>
      <c r="B34" s="397"/>
      <c r="C34" s="384" t="s">
        <v>951</v>
      </c>
    </row>
    <row r="35" spans="1:3" ht="70.5" customHeight="1">
      <c r="A35" s="383" t="s">
        <v>950</v>
      </c>
      <c r="B35" s="351" t="s">
        <v>949</v>
      </c>
      <c r="C35" s="350" t="s">
        <v>948</v>
      </c>
    </row>
    <row r="36" spans="1:3" ht="78.75">
      <c r="A36" s="386" t="s">
        <v>946</v>
      </c>
      <c r="B36" s="397"/>
      <c r="C36" s="354" t="s">
        <v>947</v>
      </c>
    </row>
    <row r="37" spans="1:3" ht="47.25">
      <c r="A37" s="383" t="s">
        <v>946</v>
      </c>
      <c r="B37" s="351" t="s">
        <v>945</v>
      </c>
      <c r="C37" s="352" t="s">
        <v>865</v>
      </c>
    </row>
    <row r="38" spans="1:3" ht="15.75">
      <c r="A38" s="394" t="s">
        <v>908</v>
      </c>
      <c r="B38" s="396"/>
      <c r="C38" s="392" t="s">
        <v>944</v>
      </c>
    </row>
    <row r="39" spans="1:3" ht="93" customHeight="1">
      <c r="A39" s="383" t="s">
        <v>908</v>
      </c>
      <c r="B39" s="351" t="s">
        <v>943</v>
      </c>
      <c r="C39" s="395" t="s">
        <v>717</v>
      </c>
    </row>
    <row r="40" spans="1:3" ht="123.75" customHeight="1">
      <c r="A40" s="383" t="s">
        <v>908</v>
      </c>
      <c r="B40" s="351" t="s">
        <v>942</v>
      </c>
      <c r="C40" s="395" t="s">
        <v>715</v>
      </c>
    </row>
    <row r="41" spans="1:3" ht="56.25" customHeight="1">
      <c r="A41" s="383" t="s">
        <v>908</v>
      </c>
      <c r="B41" s="351" t="s">
        <v>941</v>
      </c>
      <c r="C41" s="382" t="s">
        <v>713</v>
      </c>
    </row>
    <row r="42" spans="1:3" ht="105" customHeight="1">
      <c r="A42" s="383" t="s">
        <v>908</v>
      </c>
      <c r="B42" s="351" t="s">
        <v>940</v>
      </c>
      <c r="C42" s="395" t="s">
        <v>711</v>
      </c>
    </row>
    <row r="43" spans="1:3" ht="31.5">
      <c r="A43" s="383" t="s">
        <v>908</v>
      </c>
      <c r="B43" s="351" t="s">
        <v>939</v>
      </c>
      <c r="C43" s="382" t="s">
        <v>938</v>
      </c>
    </row>
    <row r="44" spans="1:3" ht="47.25">
      <c r="A44" s="383" t="s">
        <v>908</v>
      </c>
      <c r="B44" s="351" t="s">
        <v>937</v>
      </c>
      <c r="C44" s="382" t="s">
        <v>936</v>
      </c>
    </row>
    <row r="45" spans="1:3" ht="15.75">
      <c r="A45" s="383" t="s">
        <v>908</v>
      </c>
      <c r="B45" s="351" t="s">
        <v>935</v>
      </c>
      <c r="C45" s="382" t="s">
        <v>934</v>
      </c>
    </row>
    <row r="46" spans="1:3" ht="30.75" customHeight="1">
      <c r="A46" s="383" t="s">
        <v>908</v>
      </c>
      <c r="B46" s="351" t="s">
        <v>933</v>
      </c>
      <c r="C46" s="382" t="s">
        <v>932</v>
      </c>
    </row>
    <row r="47" spans="1:3" ht="53.25" customHeight="1">
      <c r="A47" s="383" t="s">
        <v>908</v>
      </c>
      <c r="B47" s="351" t="s">
        <v>931</v>
      </c>
      <c r="C47" s="350" t="s">
        <v>930</v>
      </c>
    </row>
    <row r="48" spans="1:3" ht="63">
      <c r="A48" s="383" t="s">
        <v>908</v>
      </c>
      <c r="B48" s="351" t="s">
        <v>929</v>
      </c>
      <c r="C48" s="350" t="s">
        <v>928</v>
      </c>
    </row>
    <row r="49" spans="1:5" ht="65.25" customHeight="1">
      <c r="A49" s="383" t="s">
        <v>908</v>
      </c>
      <c r="B49" s="385" t="s">
        <v>927</v>
      </c>
      <c r="C49" s="350" t="s">
        <v>926</v>
      </c>
      <c r="D49" s="256"/>
      <c r="E49" s="256"/>
    </row>
    <row r="50" spans="1:5" ht="68.25" customHeight="1">
      <c r="A50" s="383" t="s">
        <v>908</v>
      </c>
      <c r="B50" s="385" t="s">
        <v>925</v>
      </c>
      <c r="C50" s="339" t="s">
        <v>924</v>
      </c>
      <c r="D50" s="390"/>
      <c r="E50" s="390"/>
    </row>
    <row r="51" spans="1:5" ht="48" customHeight="1">
      <c r="A51" s="383" t="s">
        <v>908</v>
      </c>
      <c r="B51" s="385" t="s">
        <v>923</v>
      </c>
      <c r="C51" s="339" t="s">
        <v>922</v>
      </c>
      <c r="D51" s="390"/>
      <c r="E51" s="390"/>
    </row>
    <row r="52" spans="1:3" ht="15.75">
      <c r="A52" s="383" t="s">
        <v>908</v>
      </c>
      <c r="B52" s="385" t="s">
        <v>921</v>
      </c>
      <c r="C52" s="339" t="s">
        <v>920</v>
      </c>
    </row>
    <row r="53" spans="1:3" ht="48" customHeight="1">
      <c r="A53" s="383" t="s">
        <v>908</v>
      </c>
      <c r="B53" s="385" t="s">
        <v>919</v>
      </c>
      <c r="C53" s="350" t="s">
        <v>918</v>
      </c>
    </row>
    <row r="54" spans="1:3" ht="34.5" customHeight="1">
      <c r="A54" s="383" t="s">
        <v>908</v>
      </c>
      <c r="B54" s="385" t="s">
        <v>917</v>
      </c>
      <c r="C54" s="350" t="s">
        <v>916</v>
      </c>
    </row>
    <row r="55" spans="1:3" ht="34.5" customHeight="1">
      <c r="A55" s="383" t="s">
        <v>908</v>
      </c>
      <c r="B55" s="385" t="s">
        <v>915</v>
      </c>
      <c r="C55" s="350" t="s">
        <v>914</v>
      </c>
    </row>
    <row r="56" spans="1:5" ht="99" customHeight="1">
      <c r="A56" s="383" t="s">
        <v>908</v>
      </c>
      <c r="B56" s="385" t="s">
        <v>913</v>
      </c>
      <c r="C56" s="339" t="s">
        <v>912</v>
      </c>
      <c r="D56" s="390"/>
      <c r="E56" s="390"/>
    </row>
    <row r="57" spans="1:5" ht="68.25" customHeight="1">
      <c r="A57" s="383" t="s">
        <v>908</v>
      </c>
      <c r="B57" s="385" t="s">
        <v>911</v>
      </c>
      <c r="C57" s="339" t="s">
        <v>910</v>
      </c>
      <c r="D57" s="390"/>
      <c r="E57" s="390"/>
    </row>
    <row r="58" spans="1:5" ht="83.25" customHeight="1">
      <c r="A58" s="383" t="s">
        <v>908</v>
      </c>
      <c r="B58" s="385" t="s">
        <v>909</v>
      </c>
      <c r="C58" s="387" t="s">
        <v>633</v>
      </c>
      <c r="D58" s="390"/>
      <c r="E58" s="390"/>
    </row>
    <row r="59" spans="1:3" ht="47.25">
      <c r="A59" s="383" t="s">
        <v>908</v>
      </c>
      <c r="B59" s="351" t="s">
        <v>905</v>
      </c>
      <c r="C59" s="352" t="s">
        <v>865</v>
      </c>
    </row>
    <row r="60" spans="1:3" ht="31.5">
      <c r="A60" s="386" t="s">
        <v>906</v>
      </c>
      <c r="B60" s="359"/>
      <c r="C60" s="384" t="s">
        <v>907</v>
      </c>
    </row>
    <row r="61" spans="1:3" ht="60.75" customHeight="1">
      <c r="A61" s="383" t="s">
        <v>906</v>
      </c>
      <c r="B61" s="351" t="s">
        <v>905</v>
      </c>
      <c r="C61" s="352" t="s">
        <v>865</v>
      </c>
    </row>
    <row r="62" spans="1:3" ht="15.75">
      <c r="A62" s="394" t="s">
        <v>903</v>
      </c>
      <c r="B62" s="393"/>
      <c r="C62" s="392" t="s">
        <v>904</v>
      </c>
    </row>
    <row r="63" spans="1:3" ht="47.25">
      <c r="A63" s="383" t="s">
        <v>903</v>
      </c>
      <c r="B63" s="351" t="s">
        <v>889</v>
      </c>
      <c r="C63" s="352" t="s">
        <v>865</v>
      </c>
    </row>
    <row r="64" spans="1:3" ht="81" customHeight="1">
      <c r="A64" s="383" t="s">
        <v>903</v>
      </c>
      <c r="B64" s="351" t="s">
        <v>902</v>
      </c>
      <c r="C64" s="352" t="s">
        <v>619</v>
      </c>
    </row>
    <row r="65" spans="1:3" ht="31.5">
      <c r="A65" s="386" t="s">
        <v>199</v>
      </c>
      <c r="B65" s="351"/>
      <c r="C65" s="356" t="s">
        <v>901</v>
      </c>
    </row>
    <row r="66" spans="1:3" ht="39.75" customHeight="1">
      <c r="A66" s="383" t="s">
        <v>199</v>
      </c>
      <c r="B66" s="351" t="s">
        <v>900</v>
      </c>
      <c r="C66" s="382" t="s">
        <v>899</v>
      </c>
    </row>
    <row r="67" spans="1:3" ht="49.5" customHeight="1">
      <c r="A67" s="383" t="s">
        <v>199</v>
      </c>
      <c r="B67" s="351" t="s">
        <v>889</v>
      </c>
      <c r="C67" s="352" t="s">
        <v>865</v>
      </c>
    </row>
    <row r="68" spans="1:3" ht="15.75">
      <c r="A68" s="386" t="s">
        <v>426</v>
      </c>
      <c r="B68" s="351"/>
      <c r="C68" s="384" t="s">
        <v>898</v>
      </c>
    </row>
    <row r="69" spans="1:5" ht="66" customHeight="1">
      <c r="A69" s="383" t="s">
        <v>426</v>
      </c>
      <c r="B69" s="385" t="s">
        <v>897</v>
      </c>
      <c r="C69" s="339" t="s">
        <v>896</v>
      </c>
      <c r="D69" s="390"/>
      <c r="E69" s="390"/>
    </row>
    <row r="70" spans="1:5" ht="51.75" customHeight="1">
      <c r="A70" s="386" t="s">
        <v>894</v>
      </c>
      <c r="B70" s="385"/>
      <c r="C70" s="391" t="s">
        <v>895</v>
      </c>
      <c r="D70" s="390"/>
      <c r="E70" s="390"/>
    </row>
    <row r="71" spans="1:5" ht="60.75" customHeight="1">
      <c r="A71" s="383" t="s">
        <v>894</v>
      </c>
      <c r="B71" s="351" t="s">
        <v>889</v>
      </c>
      <c r="C71" s="352" t="s">
        <v>865</v>
      </c>
      <c r="D71" s="390"/>
      <c r="E71" s="390"/>
    </row>
    <row r="72" spans="1:5" ht="25.5" customHeight="1">
      <c r="A72" s="386" t="s">
        <v>892</v>
      </c>
      <c r="B72" s="351"/>
      <c r="C72" s="356" t="s">
        <v>893</v>
      </c>
      <c r="D72" s="390"/>
      <c r="E72" s="390"/>
    </row>
    <row r="73" spans="1:5" ht="60.75" customHeight="1">
      <c r="A73" s="383" t="s">
        <v>892</v>
      </c>
      <c r="B73" s="351" t="s">
        <v>889</v>
      </c>
      <c r="C73" s="352" t="s">
        <v>865</v>
      </c>
      <c r="D73" s="390"/>
      <c r="E73" s="390"/>
    </row>
    <row r="74" spans="1:5" ht="29.25" customHeight="1">
      <c r="A74" s="386" t="s">
        <v>890</v>
      </c>
      <c r="B74" s="351"/>
      <c r="C74" s="356" t="s">
        <v>891</v>
      </c>
      <c r="D74" s="390"/>
      <c r="E74" s="390"/>
    </row>
    <row r="75" spans="1:5" ht="54.75" customHeight="1">
      <c r="A75" s="383" t="s">
        <v>890</v>
      </c>
      <c r="B75" s="351" t="s">
        <v>889</v>
      </c>
      <c r="C75" s="352" t="s">
        <v>865</v>
      </c>
      <c r="D75" s="390"/>
      <c r="E75" s="390"/>
    </row>
    <row r="76" spans="1:3" ht="31.5">
      <c r="A76" s="386" t="s">
        <v>887</v>
      </c>
      <c r="B76" s="351"/>
      <c r="C76" s="384" t="s">
        <v>888</v>
      </c>
    </row>
    <row r="77" spans="1:3" ht="34.5" customHeight="1">
      <c r="A77" s="389" t="s">
        <v>887</v>
      </c>
      <c r="B77" s="388" t="s">
        <v>886</v>
      </c>
      <c r="C77" s="387" t="s">
        <v>885</v>
      </c>
    </row>
    <row r="78" spans="1:3" ht="49.5" customHeight="1">
      <c r="A78" s="386" t="s">
        <v>883</v>
      </c>
      <c r="B78" s="385"/>
      <c r="C78" s="384" t="s">
        <v>884</v>
      </c>
    </row>
    <row r="79" spans="1:3" ht="49.5" customHeight="1">
      <c r="A79" s="383" t="s">
        <v>883</v>
      </c>
      <c r="B79" s="351" t="s">
        <v>882</v>
      </c>
      <c r="C79" s="382" t="s">
        <v>881</v>
      </c>
    </row>
    <row r="80" spans="1:3" ht="15.75">
      <c r="A80" s="381"/>
      <c r="B80" s="379"/>
      <c r="C80" s="378"/>
    </row>
    <row r="81" spans="1:3" ht="15.75">
      <c r="A81" s="381"/>
      <c r="B81" s="379"/>
      <c r="C81" s="378"/>
    </row>
    <row r="82" spans="1:3" ht="15.75">
      <c r="A82" s="381"/>
      <c r="B82" s="379"/>
      <c r="C82" s="378"/>
    </row>
    <row r="83" spans="1:3" ht="15.75">
      <c r="A83" s="381"/>
      <c r="B83" s="379"/>
      <c r="C83" s="378"/>
    </row>
    <row r="84" spans="1:3" ht="15.75">
      <c r="A84" s="380"/>
      <c r="B84" s="379"/>
      <c r="C84" s="378"/>
    </row>
  </sheetData>
  <sheetProtection/>
  <mergeCells count="3">
    <mergeCell ref="A4:C4"/>
    <mergeCell ref="A7:B7"/>
    <mergeCell ref="C7:C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308" customWidth="1"/>
    <col min="2" max="2" width="86.140625" style="308" customWidth="1"/>
    <col min="3" max="3" width="15.28125" style="367" customWidth="1"/>
    <col min="4" max="4" width="9.57421875" style="308" bestFit="1" customWidth="1"/>
    <col min="5" max="16384" width="9.140625" style="308" customWidth="1"/>
  </cols>
  <sheetData>
    <row r="1" spans="1:3" ht="16.5">
      <c r="A1" s="450"/>
      <c r="B1" s="449" t="s">
        <v>1045</v>
      </c>
      <c r="C1" s="449"/>
    </row>
    <row r="2" spans="1:3" ht="47.25" customHeight="1">
      <c r="A2" s="367"/>
      <c r="B2" s="448" t="s">
        <v>101</v>
      </c>
      <c r="C2" s="448"/>
    </row>
    <row r="3" spans="1:3" ht="15.75" customHeight="1">
      <c r="A3" s="367"/>
      <c r="B3" s="448" t="s">
        <v>536</v>
      </c>
      <c r="C3" s="447"/>
    </row>
    <row r="4" spans="1:3" ht="14.25" customHeight="1">
      <c r="A4" s="444" t="s">
        <v>1044</v>
      </c>
      <c r="B4" s="444"/>
      <c r="C4" s="444"/>
    </row>
    <row r="5" spans="1:3" ht="15.75">
      <c r="A5" s="446"/>
      <c r="B5" s="443" t="s">
        <v>1043</v>
      </c>
      <c r="C5" s="445"/>
    </row>
    <row r="6" spans="1:3" ht="15.75">
      <c r="A6" s="444" t="s">
        <v>1042</v>
      </c>
      <c r="B6" s="444"/>
      <c r="C6" s="444"/>
    </row>
    <row r="7" spans="1:3" ht="15.75">
      <c r="A7" s="443"/>
      <c r="B7" s="443"/>
      <c r="C7" s="442" t="s">
        <v>98</v>
      </c>
    </row>
    <row r="8" spans="1:3" ht="30" customHeight="1">
      <c r="A8" s="441" t="s">
        <v>1041</v>
      </c>
      <c r="B8" s="441" t="s">
        <v>1040</v>
      </c>
      <c r="C8" s="441" t="s">
        <v>1039</v>
      </c>
    </row>
    <row r="9" spans="1:3" ht="17.25" customHeight="1">
      <c r="A9" s="414"/>
      <c r="B9" s="440" t="s">
        <v>1038</v>
      </c>
      <c r="C9" s="439"/>
    </row>
    <row r="10" spans="1:3" ht="31.5" customHeight="1">
      <c r="A10" s="417" t="s">
        <v>1037</v>
      </c>
      <c r="B10" s="423" t="s">
        <v>1036</v>
      </c>
      <c r="C10" s="415">
        <v>500</v>
      </c>
    </row>
    <row r="11" spans="1:3" ht="30" customHeight="1">
      <c r="A11" s="417" t="s">
        <v>1035</v>
      </c>
      <c r="B11" s="416" t="s">
        <v>484</v>
      </c>
      <c r="C11" s="415">
        <v>250</v>
      </c>
    </row>
    <row r="12" spans="1:3" ht="29.25" customHeight="1">
      <c r="A12" s="417" t="s">
        <v>1034</v>
      </c>
      <c r="B12" s="422" t="s">
        <v>488</v>
      </c>
      <c r="C12" s="415">
        <v>50</v>
      </c>
    </row>
    <row r="13" spans="1:3" ht="16.5" customHeight="1">
      <c r="A13" s="417" t="s">
        <v>1033</v>
      </c>
      <c r="B13" s="416" t="s">
        <v>482</v>
      </c>
      <c r="C13" s="415">
        <v>19778.7</v>
      </c>
    </row>
    <row r="14" spans="1:3" ht="33" customHeight="1">
      <c r="A14" s="417" t="s">
        <v>1032</v>
      </c>
      <c r="B14" s="422" t="s">
        <v>492</v>
      </c>
      <c r="C14" s="415">
        <v>202</v>
      </c>
    </row>
    <row r="15" spans="1:3" ht="33.75" customHeight="1">
      <c r="A15" s="417" t="s">
        <v>1031</v>
      </c>
      <c r="B15" s="438" t="s">
        <v>453</v>
      </c>
      <c r="C15" s="415">
        <v>540</v>
      </c>
    </row>
    <row r="16" spans="1:3" ht="32.25" customHeight="1">
      <c r="A16" s="417" t="s">
        <v>1030</v>
      </c>
      <c r="B16" s="422" t="s">
        <v>109</v>
      </c>
      <c r="C16" s="415">
        <f>C18</f>
        <v>204</v>
      </c>
    </row>
    <row r="17" spans="1:3" ht="12.75" customHeight="1">
      <c r="A17" s="417"/>
      <c r="B17" s="422" t="s">
        <v>988</v>
      </c>
      <c r="C17" s="415"/>
    </row>
    <row r="18" spans="1:3" ht="30.75" customHeight="1">
      <c r="A18" s="417"/>
      <c r="B18" s="422" t="s">
        <v>107</v>
      </c>
      <c r="C18" s="415">
        <v>204</v>
      </c>
    </row>
    <row r="19" spans="1:3" ht="30.75" customHeight="1">
      <c r="A19" s="417" t="s">
        <v>1029</v>
      </c>
      <c r="B19" s="436" t="s">
        <v>392</v>
      </c>
      <c r="C19" s="415">
        <v>3410.5</v>
      </c>
    </row>
    <row r="20" spans="1:3" ht="18.75" customHeight="1">
      <c r="A20" s="417" t="s">
        <v>1028</v>
      </c>
      <c r="B20" s="427" t="s">
        <v>1002</v>
      </c>
      <c r="C20" s="415">
        <f>C22</f>
        <v>417</v>
      </c>
    </row>
    <row r="21" spans="1:3" ht="17.25" customHeight="1">
      <c r="A21" s="417"/>
      <c r="B21" s="422" t="s">
        <v>988</v>
      </c>
      <c r="C21" s="415"/>
    </row>
    <row r="22" spans="1:3" ht="20.25" customHeight="1">
      <c r="A22" s="417"/>
      <c r="B22" s="425" t="s">
        <v>241</v>
      </c>
      <c r="C22" s="415">
        <v>417</v>
      </c>
    </row>
    <row r="23" spans="1:3" ht="20.25" customHeight="1">
      <c r="A23" s="417" t="s">
        <v>1027</v>
      </c>
      <c r="B23" s="419" t="s">
        <v>992</v>
      </c>
      <c r="C23" s="415">
        <v>350</v>
      </c>
    </row>
    <row r="24" spans="1:3" ht="20.25" customHeight="1">
      <c r="A24" s="417"/>
      <c r="B24" s="425"/>
      <c r="C24" s="415"/>
    </row>
    <row r="25" spans="1:3" ht="15.75">
      <c r="A25" s="414"/>
      <c r="B25" s="410" t="s">
        <v>1026</v>
      </c>
      <c r="C25" s="409">
        <f>C10+C11+C12+C13+C14+C15+C16+C19+C20+C23</f>
        <v>25702.2</v>
      </c>
    </row>
    <row r="26" spans="1:3" ht="31.5">
      <c r="A26" s="414"/>
      <c r="B26" s="432" t="s">
        <v>1025</v>
      </c>
      <c r="C26" s="409"/>
    </row>
    <row r="27" spans="1:3" ht="18" customHeight="1">
      <c r="A27" s="417" t="s">
        <v>1024</v>
      </c>
      <c r="B27" s="436" t="s">
        <v>1023</v>
      </c>
      <c r="C27" s="412">
        <v>5705.4</v>
      </c>
    </row>
    <row r="28" spans="1:4" ht="30">
      <c r="A28" s="417" t="s">
        <v>1022</v>
      </c>
      <c r="B28" s="422" t="s">
        <v>1021</v>
      </c>
      <c r="C28" s="412">
        <v>9159</v>
      </c>
      <c r="D28" s="437"/>
    </row>
    <row r="29" spans="1:3" ht="30">
      <c r="A29" s="417" t="s">
        <v>1020</v>
      </c>
      <c r="B29" s="436" t="s">
        <v>392</v>
      </c>
      <c r="C29" s="415">
        <v>150</v>
      </c>
    </row>
    <row r="30" spans="1:3" ht="15">
      <c r="A30" s="417" t="s">
        <v>1019</v>
      </c>
      <c r="B30" s="413" t="s">
        <v>1018</v>
      </c>
      <c r="C30" s="415">
        <v>3500</v>
      </c>
    </row>
    <row r="31" spans="1:3" ht="28.5" customHeight="1">
      <c r="A31" s="417" t="s">
        <v>1017</v>
      </c>
      <c r="B31" s="435" t="s">
        <v>542</v>
      </c>
      <c r="C31" s="415">
        <v>2610</v>
      </c>
    </row>
    <row r="32" spans="1:3" ht="33" customHeight="1">
      <c r="A32" s="417" t="s">
        <v>1016</v>
      </c>
      <c r="B32" s="435" t="s">
        <v>400</v>
      </c>
      <c r="C32" s="415">
        <v>300</v>
      </c>
    </row>
    <row r="33" spans="1:3" ht="35.25" customHeight="1">
      <c r="A33" s="417" t="s">
        <v>1015</v>
      </c>
      <c r="B33" s="416" t="s">
        <v>548</v>
      </c>
      <c r="C33" s="415">
        <v>150</v>
      </c>
    </row>
    <row r="34" spans="1:3" ht="17.25" customHeight="1">
      <c r="A34" s="414"/>
      <c r="B34" s="410" t="s">
        <v>1014</v>
      </c>
      <c r="C34" s="409">
        <f>SUM(C27:C33)</f>
        <v>21574.4</v>
      </c>
    </row>
    <row r="35" spans="1:3" ht="31.5">
      <c r="A35" s="408"/>
      <c r="B35" s="434" t="s">
        <v>1013</v>
      </c>
      <c r="C35" s="409"/>
    </row>
    <row r="36" spans="1:3" ht="34.5" customHeight="1">
      <c r="A36" s="433" t="s">
        <v>1012</v>
      </c>
      <c r="B36" s="416" t="s">
        <v>989</v>
      </c>
      <c r="C36" s="412">
        <f>C38+C39</f>
        <v>19257.1</v>
      </c>
    </row>
    <row r="37" spans="1:3" ht="17.25" customHeight="1">
      <c r="A37" s="433"/>
      <c r="B37" s="418" t="s">
        <v>988</v>
      </c>
      <c r="C37" s="412"/>
    </row>
    <row r="38" spans="1:3" ht="30.75" customHeight="1">
      <c r="A38" s="433"/>
      <c r="B38" s="416" t="s">
        <v>107</v>
      </c>
      <c r="C38" s="412">
        <v>18757.1</v>
      </c>
    </row>
    <row r="39" spans="1:3" ht="30.75" customHeight="1">
      <c r="A39" s="433"/>
      <c r="B39" s="413" t="s">
        <v>188</v>
      </c>
      <c r="C39" s="412">
        <v>500</v>
      </c>
    </row>
    <row r="40" spans="1:3" ht="30.75" customHeight="1">
      <c r="A40" s="433" t="s">
        <v>1011</v>
      </c>
      <c r="B40" s="416" t="s">
        <v>1010</v>
      </c>
      <c r="C40" s="412">
        <v>50</v>
      </c>
    </row>
    <row r="41" spans="1:3" ht="16.5">
      <c r="A41" s="408"/>
      <c r="B41" s="410" t="s">
        <v>1009</v>
      </c>
      <c r="C41" s="409">
        <f>C36+C40</f>
        <v>19307.1</v>
      </c>
    </row>
    <row r="42" spans="1:3" ht="31.5">
      <c r="A42" s="414"/>
      <c r="B42" s="432" t="s">
        <v>1008</v>
      </c>
      <c r="C42" s="431"/>
    </row>
    <row r="43" spans="1:3" ht="36" customHeight="1">
      <c r="A43" s="417" t="s">
        <v>1007</v>
      </c>
      <c r="B43" s="430" t="s">
        <v>1006</v>
      </c>
      <c r="C43" s="415">
        <v>200</v>
      </c>
    </row>
    <row r="44" spans="1:3" ht="18" customHeight="1">
      <c r="A44" s="408"/>
      <c r="B44" s="410" t="s">
        <v>1005</v>
      </c>
      <c r="C44" s="409">
        <f>C43</f>
        <v>200</v>
      </c>
    </row>
    <row r="45" spans="1:3" ht="43.5" customHeight="1">
      <c r="A45" s="414"/>
      <c r="B45" s="429" t="s">
        <v>1004</v>
      </c>
      <c r="C45" s="428"/>
    </row>
    <row r="46" spans="1:3" ht="15">
      <c r="A46" s="411" t="s">
        <v>1003</v>
      </c>
      <c r="B46" s="427" t="s">
        <v>1002</v>
      </c>
      <c r="C46" s="415">
        <f>SUM(C48:C58)</f>
        <v>17368.9</v>
      </c>
    </row>
    <row r="47" spans="1:3" ht="15">
      <c r="A47" s="411"/>
      <c r="B47" s="427" t="s">
        <v>1001</v>
      </c>
      <c r="C47" s="415"/>
    </row>
    <row r="48" spans="1:3" ht="15">
      <c r="A48" s="411"/>
      <c r="B48" s="413" t="s">
        <v>261</v>
      </c>
      <c r="C48" s="415">
        <v>100</v>
      </c>
    </row>
    <row r="49" spans="1:3" ht="15">
      <c r="A49" s="411"/>
      <c r="B49" s="426" t="s">
        <v>259</v>
      </c>
      <c r="C49" s="415">
        <v>4565.5</v>
      </c>
    </row>
    <row r="50" spans="1:3" ht="15">
      <c r="A50" s="411"/>
      <c r="B50" s="426" t="s">
        <v>257</v>
      </c>
      <c r="C50" s="415">
        <v>225</v>
      </c>
    </row>
    <row r="51" spans="1:3" ht="15">
      <c r="A51" s="411"/>
      <c r="B51" s="426" t="s">
        <v>255</v>
      </c>
      <c r="C51" s="415">
        <v>450</v>
      </c>
    </row>
    <row r="52" spans="1:3" ht="15">
      <c r="A52" s="411"/>
      <c r="B52" s="426" t="s">
        <v>253</v>
      </c>
      <c r="C52" s="415">
        <v>200</v>
      </c>
    </row>
    <row r="53" spans="1:3" ht="30">
      <c r="A53" s="411"/>
      <c r="B53" s="426" t="s">
        <v>251</v>
      </c>
      <c r="C53" s="415">
        <v>1370</v>
      </c>
    </row>
    <row r="54" spans="1:3" ht="15">
      <c r="A54" s="411"/>
      <c r="B54" s="426" t="s">
        <v>247</v>
      </c>
      <c r="C54" s="415">
        <v>30</v>
      </c>
    </row>
    <row r="55" spans="1:3" ht="15">
      <c r="A55" s="411"/>
      <c r="B55" s="426" t="s">
        <v>245</v>
      </c>
      <c r="C55" s="415">
        <v>1860</v>
      </c>
    </row>
    <row r="56" spans="1:3" ht="15">
      <c r="A56" s="411"/>
      <c r="B56" s="424" t="s">
        <v>243</v>
      </c>
      <c r="C56" s="415">
        <v>2790</v>
      </c>
    </row>
    <row r="57" spans="1:3" ht="15">
      <c r="A57" s="411"/>
      <c r="B57" s="425" t="s">
        <v>241</v>
      </c>
      <c r="C57" s="415">
        <v>2378.4</v>
      </c>
    </row>
    <row r="58" spans="1:3" ht="30">
      <c r="A58" s="411"/>
      <c r="B58" s="424" t="s">
        <v>239</v>
      </c>
      <c r="C58" s="415">
        <v>3400</v>
      </c>
    </row>
    <row r="59" spans="1:3" ht="33.75" customHeight="1">
      <c r="A59" s="417" t="s">
        <v>1000</v>
      </c>
      <c r="B59" s="423" t="s">
        <v>542</v>
      </c>
      <c r="C59" s="415">
        <v>150</v>
      </c>
    </row>
    <row r="60" spans="1:3" ht="30">
      <c r="A60" s="417" t="s">
        <v>999</v>
      </c>
      <c r="B60" s="416" t="s">
        <v>989</v>
      </c>
      <c r="C60" s="415">
        <f>C62+C63</f>
        <v>8977.2</v>
      </c>
    </row>
    <row r="61" spans="1:3" ht="17.25" customHeight="1">
      <c r="A61" s="417"/>
      <c r="B61" s="418" t="s">
        <v>988</v>
      </c>
      <c r="C61" s="415"/>
    </row>
    <row r="62" spans="1:3" ht="36.75" customHeight="1">
      <c r="A62" s="417"/>
      <c r="B62" s="416" t="s">
        <v>107</v>
      </c>
      <c r="C62" s="415">
        <v>500</v>
      </c>
    </row>
    <row r="63" spans="1:3" ht="32.25" customHeight="1">
      <c r="A63" s="417"/>
      <c r="B63" s="413" t="s">
        <v>188</v>
      </c>
      <c r="C63" s="415">
        <v>8477.2</v>
      </c>
    </row>
    <row r="64" spans="1:3" ht="33" customHeight="1">
      <c r="A64" s="417" t="s">
        <v>998</v>
      </c>
      <c r="B64" s="413" t="s">
        <v>235</v>
      </c>
      <c r="C64" s="415">
        <v>100</v>
      </c>
    </row>
    <row r="65" spans="1:3" ht="33" customHeight="1">
      <c r="A65" s="417" t="s">
        <v>997</v>
      </c>
      <c r="B65" s="422" t="s">
        <v>996</v>
      </c>
      <c r="C65" s="415">
        <v>80</v>
      </c>
    </row>
    <row r="66" spans="1:4" ht="20.25" customHeight="1">
      <c r="A66" s="414"/>
      <c r="B66" s="410" t="s">
        <v>995</v>
      </c>
      <c r="C66" s="409">
        <f>C46+C59+C60+C64+C65</f>
        <v>26676.100000000002</v>
      </c>
      <c r="D66" s="332"/>
    </row>
    <row r="67" spans="1:3" ht="31.5">
      <c r="A67" s="414"/>
      <c r="B67" s="421" t="s">
        <v>994</v>
      </c>
      <c r="C67" s="420"/>
    </row>
    <row r="68" spans="1:3" ht="30" customHeight="1">
      <c r="A68" s="411" t="s">
        <v>993</v>
      </c>
      <c r="B68" s="419" t="s">
        <v>992</v>
      </c>
      <c r="C68" s="415">
        <v>23756.7</v>
      </c>
    </row>
    <row r="69" spans="1:3" ht="30" customHeight="1">
      <c r="A69" s="417" t="s">
        <v>991</v>
      </c>
      <c r="B69" s="413" t="s">
        <v>235</v>
      </c>
      <c r="C69" s="415">
        <v>100</v>
      </c>
    </row>
    <row r="70" spans="1:3" ht="30" customHeight="1">
      <c r="A70" s="417" t="s">
        <v>990</v>
      </c>
      <c r="B70" s="416" t="s">
        <v>989</v>
      </c>
      <c r="C70" s="415">
        <f>C72</f>
        <v>3056.3</v>
      </c>
    </row>
    <row r="71" spans="1:3" ht="15" customHeight="1">
      <c r="A71" s="417"/>
      <c r="B71" s="418" t="s">
        <v>988</v>
      </c>
      <c r="C71" s="415"/>
    </row>
    <row r="72" spans="1:3" ht="30" customHeight="1">
      <c r="A72" s="417"/>
      <c r="B72" s="416" t="s">
        <v>107</v>
      </c>
      <c r="C72" s="415">
        <v>3056.3</v>
      </c>
    </row>
    <row r="73" spans="1:4" ht="15.75">
      <c r="A73" s="414"/>
      <c r="B73" s="410" t="s">
        <v>987</v>
      </c>
      <c r="C73" s="409">
        <f>C68+C69+C70</f>
        <v>26913</v>
      </c>
      <c r="D73" s="367"/>
    </row>
    <row r="74" spans="1:8" ht="30" customHeight="1">
      <c r="A74" s="411"/>
      <c r="B74" s="149" t="s">
        <v>986</v>
      </c>
      <c r="C74" s="409"/>
      <c r="E74" s="367"/>
      <c r="F74" s="367"/>
      <c r="G74" s="367"/>
      <c r="H74" s="367"/>
    </row>
    <row r="75" spans="1:8" ht="21.75" customHeight="1">
      <c r="A75" s="411" t="s">
        <v>985</v>
      </c>
      <c r="B75" s="413" t="s">
        <v>429</v>
      </c>
      <c r="C75" s="412">
        <v>1000</v>
      </c>
      <c r="E75" s="367"/>
      <c r="F75" s="367"/>
      <c r="G75" s="367"/>
      <c r="H75" s="367"/>
    </row>
    <row r="76" spans="1:8" ht="21.75" customHeight="1">
      <c r="A76" s="411"/>
      <c r="B76" s="410" t="s">
        <v>984</v>
      </c>
      <c r="C76" s="409">
        <f>C75</f>
        <v>1000</v>
      </c>
      <c r="E76" s="367"/>
      <c r="F76" s="367"/>
      <c r="G76" s="367"/>
      <c r="H76" s="367"/>
    </row>
    <row r="77" spans="1:3" ht="16.5">
      <c r="A77" s="408"/>
      <c r="B77" s="407" t="s">
        <v>983</v>
      </c>
      <c r="C77" s="406">
        <f>C25+C34+C41+C44+C66+C73+C76</f>
        <v>121372.80000000002</v>
      </c>
    </row>
    <row r="78" ht="12.75">
      <c r="D78" s="332"/>
    </row>
  </sheetData>
  <sheetProtection/>
  <mergeCells count="5">
    <mergeCell ref="B1:C1"/>
    <mergeCell ref="B2:C2"/>
    <mergeCell ref="B3:C3"/>
    <mergeCell ref="A4:C4"/>
    <mergeCell ref="A6:C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5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308" customWidth="1"/>
    <col min="2" max="2" width="34.00390625" style="308" customWidth="1"/>
    <col min="3" max="16384" width="9.140625" style="308" customWidth="1"/>
  </cols>
  <sheetData>
    <row r="1" ht="18" customHeight="1">
      <c r="B1" s="465" t="s">
        <v>1054</v>
      </c>
    </row>
    <row r="2" ht="32.25" customHeight="1">
      <c r="B2" s="464" t="s">
        <v>529</v>
      </c>
    </row>
    <row r="3" ht="15">
      <c r="B3" s="463" t="s">
        <v>536</v>
      </c>
    </row>
    <row r="4" ht="12.75">
      <c r="B4" s="1"/>
    </row>
    <row r="8" spans="1:2" ht="15.75" customHeight="1">
      <c r="A8" s="462" t="s">
        <v>1053</v>
      </c>
      <c r="B8" s="462"/>
    </row>
    <row r="9" spans="1:2" ht="15.75" customHeight="1">
      <c r="A9" s="462" t="s">
        <v>1052</v>
      </c>
      <c r="B9" s="462"/>
    </row>
    <row r="10" spans="1:2" ht="15.75">
      <c r="A10" s="349"/>
      <c r="B10" s="349"/>
    </row>
    <row r="11" spans="1:2" ht="15.75">
      <c r="A11" s="349"/>
      <c r="B11" s="461" t="s">
        <v>98</v>
      </c>
    </row>
    <row r="12" spans="1:2" ht="25.5" customHeight="1">
      <c r="A12" s="459" t="s">
        <v>1051</v>
      </c>
      <c r="B12" s="460">
        <f>B15+B18</f>
        <v>60263.20000000001</v>
      </c>
    </row>
    <row r="13" spans="1:2" ht="13.5" customHeight="1">
      <c r="A13" s="459"/>
      <c r="B13" s="458"/>
    </row>
    <row r="14" spans="1:2" ht="18.75" customHeight="1">
      <c r="A14" s="382" t="s">
        <v>1050</v>
      </c>
      <c r="B14" s="455"/>
    </row>
    <row r="15" spans="1:2" ht="23.25" customHeight="1">
      <c r="A15" s="382" t="s">
        <v>1049</v>
      </c>
      <c r="B15" s="455">
        <f>B16+B17</f>
        <v>70263.20000000001</v>
      </c>
    </row>
    <row r="16" spans="1:2" ht="21.75" customHeight="1">
      <c r="A16" s="456" t="s">
        <v>1047</v>
      </c>
      <c r="B16" s="457">
        <v>185263.2</v>
      </c>
    </row>
    <row r="17" spans="1:2" ht="22.5" customHeight="1">
      <c r="A17" s="456" t="s">
        <v>1046</v>
      </c>
      <c r="B17" s="455">
        <v>-115000</v>
      </c>
    </row>
    <row r="18" spans="1:2" ht="42.75" customHeight="1">
      <c r="A18" s="382" t="s">
        <v>1048</v>
      </c>
      <c r="B18" s="455">
        <f>B19+B20</f>
        <v>-10000</v>
      </c>
    </row>
    <row r="19" spans="1:2" ht="29.25" customHeight="1">
      <c r="A19" s="456" t="s">
        <v>1047</v>
      </c>
      <c r="B19" s="455">
        <v>0</v>
      </c>
    </row>
    <row r="20" spans="1:2" ht="15.75">
      <c r="A20" s="456" t="s">
        <v>1046</v>
      </c>
      <c r="B20" s="455">
        <v>-10000</v>
      </c>
    </row>
    <row r="21" spans="1:2" ht="15.75">
      <c r="A21" s="157"/>
      <c r="B21" s="454"/>
    </row>
    <row r="22" spans="1:2" ht="12.75">
      <c r="A22" s="380"/>
      <c r="B22" s="380"/>
    </row>
    <row r="23" spans="1:2" ht="12.75">
      <c r="A23" s="453"/>
      <c r="B23" s="452"/>
    </row>
    <row r="24" spans="1:2" ht="12.75">
      <c r="A24" s="451"/>
      <c r="B24" s="451"/>
    </row>
    <row r="25" spans="1:2" ht="12.75">
      <c r="A25" s="380"/>
      <c r="B25" s="380"/>
    </row>
    <row r="26" spans="1:2" ht="12.75">
      <c r="A26" s="380"/>
      <c r="B26" s="380"/>
    </row>
    <row r="27" spans="1:2" ht="12.75">
      <c r="A27" s="380"/>
      <c r="B27" s="380"/>
    </row>
    <row r="28" spans="1:2" ht="12.75">
      <c r="A28" s="380"/>
      <c r="B28" s="380"/>
    </row>
    <row r="29" spans="1:2" ht="12.75">
      <c r="A29" s="380"/>
      <c r="B29" s="380"/>
    </row>
    <row r="30" spans="1:2" ht="12.75">
      <c r="A30" s="380"/>
      <c r="B30" s="380"/>
    </row>
    <row r="31" spans="1:2" ht="12.75">
      <c r="A31" s="380"/>
      <c r="B31" s="380"/>
    </row>
    <row r="32" spans="1:2" ht="12.75">
      <c r="A32" s="380"/>
      <c r="B32" s="380"/>
    </row>
    <row r="33" spans="1:2" ht="12.75">
      <c r="A33" s="380"/>
      <c r="B33" s="380"/>
    </row>
    <row r="34" spans="1:2" ht="12.75">
      <c r="A34" s="380"/>
      <c r="B34" s="380"/>
    </row>
    <row r="35" spans="1:2" ht="12.75">
      <c r="A35" s="380"/>
      <c r="B35" s="380"/>
    </row>
    <row r="36" spans="1:2" ht="12.75">
      <c r="A36" s="380"/>
      <c r="B36" s="380"/>
    </row>
    <row r="37" spans="1:2" ht="12.75">
      <c r="A37" s="380"/>
      <c r="B37" s="380"/>
    </row>
  </sheetData>
  <sheetProtection/>
  <mergeCells count="6">
    <mergeCell ref="A8:B8"/>
    <mergeCell ref="A9:B9"/>
    <mergeCell ref="A23:B23"/>
    <mergeCell ref="A24:B24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2890625" style="308" customWidth="1"/>
    <col min="2" max="2" width="5.28125" style="308" customWidth="1"/>
    <col min="3" max="3" width="87.8515625" style="308" customWidth="1"/>
    <col min="4" max="4" width="13.00390625" style="367" customWidth="1"/>
    <col min="5" max="5" width="9.140625" style="308" customWidth="1"/>
    <col min="6" max="6" width="9.57421875" style="308" bestFit="1" customWidth="1"/>
    <col min="7" max="16384" width="9.140625" style="308" customWidth="1"/>
  </cols>
  <sheetData>
    <row r="1" spans="2:4" ht="16.5">
      <c r="B1" s="450"/>
      <c r="C1" s="449" t="s">
        <v>1065</v>
      </c>
      <c r="D1" s="449"/>
    </row>
    <row r="2" spans="2:4" ht="31.5" customHeight="1">
      <c r="B2" s="367"/>
      <c r="C2" s="448" t="s">
        <v>1064</v>
      </c>
      <c r="D2" s="448"/>
    </row>
    <row r="3" spans="2:4" ht="19.5" customHeight="1">
      <c r="B3" s="367"/>
      <c r="C3" s="484" t="s">
        <v>1063</v>
      </c>
      <c r="D3" s="483"/>
    </row>
    <row r="4" spans="2:3" ht="12.75">
      <c r="B4" s="367"/>
      <c r="C4" s="482"/>
    </row>
    <row r="5" spans="2:4" ht="13.5" customHeight="1">
      <c r="B5" s="444" t="s">
        <v>1044</v>
      </c>
      <c r="C5" s="444"/>
      <c r="D5" s="444"/>
    </row>
    <row r="6" spans="2:4" ht="15.75">
      <c r="B6" s="446"/>
      <c r="C6" s="443" t="s">
        <v>1062</v>
      </c>
      <c r="D6" s="445"/>
    </row>
    <row r="7" spans="1:4" ht="15.75">
      <c r="A7" s="481"/>
      <c r="B7" s="444" t="s">
        <v>1042</v>
      </c>
      <c r="C7" s="444"/>
      <c r="D7" s="444"/>
    </row>
    <row r="8" spans="1:4" ht="16.5">
      <c r="A8" s="481"/>
      <c r="C8" s="480"/>
      <c r="D8" s="479" t="s">
        <v>1061</v>
      </c>
    </row>
    <row r="9" spans="2:4" ht="48" customHeight="1">
      <c r="B9" s="478" t="s">
        <v>1041</v>
      </c>
      <c r="C9" s="478" t="s">
        <v>1060</v>
      </c>
      <c r="D9" s="477" t="s">
        <v>725</v>
      </c>
    </row>
    <row r="10" spans="2:4" ht="26.25" customHeight="1">
      <c r="B10" s="476" t="s">
        <v>1059</v>
      </c>
      <c r="C10" s="475"/>
      <c r="D10" s="474"/>
    </row>
    <row r="11" spans="2:4" ht="31.5" customHeight="1">
      <c r="B11" s="417" t="s">
        <v>1037</v>
      </c>
      <c r="C11" s="473" t="s">
        <v>453</v>
      </c>
      <c r="D11" s="415">
        <v>540</v>
      </c>
    </row>
    <row r="12" spans="2:4" ht="16.5" customHeight="1">
      <c r="B12" s="472"/>
      <c r="C12" s="410" t="s">
        <v>1026</v>
      </c>
      <c r="D12" s="471">
        <f>D11</f>
        <v>540</v>
      </c>
    </row>
    <row r="13" spans="2:4" ht="27" customHeight="1">
      <c r="B13" s="470" t="s">
        <v>1058</v>
      </c>
      <c r="C13" s="469"/>
      <c r="D13" s="468"/>
    </row>
    <row r="14" spans="2:4" ht="37.5" customHeight="1">
      <c r="B14" s="417" t="s">
        <v>1024</v>
      </c>
      <c r="C14" s="350" t="s">
        <v>1057</v>
      </c>
      <c r="D14" s="415">
        <v>20205.2</v>
      </c>
    </row>
    <row r="15" spans="2:4" ht="31.5">
      <c r="B15" s="417" t="s">
        <v>1022</v>
      </c>
      <c r="C15" s="467" t="s">
        <v>1056</v>
      </c>
      <c r="D15" s="415">
        <v>34.6</v>
      </c>
    </row>
    <row r="16" spans="2:4" ht="31.5">
      <c r="B16" s="417" t="s">
        <v>1020</v>
      </c>
      <c r="C16" s="466" t="s">
        <v>1055</v>
      </c>
      <c r="D16" s="415">
        <v>3781.5</v>
      </c>
    </row>
    <row r="17" spans="2:4" ht="31.5">
      <c r="B17" s="417" t="s">
        <v>1019</v>
      </c>
      <c r="C17" s="382" t="s">
        <v>354</v>
      </c>
      <c r="D17" s="415">
        <v>150</v>
      </c>
    </row>
    <row r="18" spans="2:4" ht="15.75">
      <c r="B18" s="414"/>
      <c r="C18" s="410" t="s">
        <v>1014</v>
      </c>
      <c r="D18" s="409">
        <f>SUM(D14:D17)</f>
        <v>24171.3</v>
      </c>
    </row>
    <row r="19" spans="2:4" ht="16.5">
      <c r="B19" s="408"/>
      <c r="C19" s="407" t="s">
        <v>983</v>
      </c>
      <c r="D19" s="406">
        <f>D12+D18</f>
        <v>24711.3</v>
      </c>
    </row>
  </sheetData>
  <sheetProtection/>
  <mergeCells count="7">
    <mergeCell ref="B13:D13"/>
    <mergeCell ref="C1:D1"/>
    <mergeCell ref="C2:D2"/>
    <mergeCell ref="C3:D3"/>
    <mergeCell ref="B5:D5"/>
    <mergeCell ref="B7:D7"/>
    <mergeCell ref="B10:D10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0.2890625" style="308" customWidth="1"/>
    <col min="2" max="2" width="4.421875" style="308" customWidth="1"/>
    <col min="3" max="3" width="80.421875" style="308" customWidth="1"/>
    <col min="4" max="4" width="11.421875" style="367" customWidth="1"/>
    <col min="5" max="5" width="11.421875" style="308" customWidth="1"/>
    <col min="6" max="6" width="9.57421875" style="308" bestFit="1" customWidth="1"/>
    <col min="7" max="16384" width="9.140625" style="308" customWidth="1"/>
  </cols>
  <sheetData>
    <row r="1" spans="2:5" ht="16.5">
      <c r="B1" s="450"/>
      <c r="C1" s="496" t="s">
        <v>1067</v>
      </c>
      <c r="D1" s="496"/>
      <c r="E1" s="496"/>
    </row>
    <row r="2" spans="2:5" ht="30" customHeight="1">
      <c r="B2" s="367"/>
      <c r="C2" s="495" t="s">
        <v>1064</v>
      </c>
      <c r="D2" s="495"/>
      <c r="E2" s="495"/>
    </row>
    <row r="3" spans="2:5" ht="15.75" customHeight="1">
      <c r="B3" s="367"/>
      <c r="C3" s="495" t="s">
        <v>1063</v>
      </c>
      <c r="D3" s="495"/>
      <c r="E3" s="495"/>
    </row>
    <row r="4" spans="2:3" ht="12.75">
      <c r="B4" s="367"/>
      <c r="C4" s="494"/>
    </row>
    <row r="5" spans="2:5" ht="13.5" customHeight="1">
      <c r="B5" s="444" t="s">
        <v>1044</v>
      </c>
      <c r="C5" s="444"/>
      <c r="D5" s="444"/>
      <c r="E5" s="444"/>
    </row>
    <row r="6" spans="2:5" ht="15" customHeight="1">
      <c r="B6" s="444" t="s">
        <v>1062</v>
      </c>
      <c r="C6" s="444"/>
      <c r="D6" s="444"/>
      <c r="E6" s="444"/>
    </row>
    <row r="7" spans="1:5" ht="15.75">
      <c r="A7" s="481"/>
      <c r="B7" s="444" t="s">
        <v>1066</v>
      </c>
      <c r="C7" s="444"/>
      <c r="D7" s="444"/>
      <c r="E7" s="444"/>
    </row>
    <row r="8" spans="1:5" ht="16.5">
      <c r="A8" s="481"/>
      <c r="C8" s="480"/>
      <c r="D8" s="479"/>
      <c r="E8" s="479" t="s">
        <v>1061</v>
      </c>
    </row>
    <row r="9" spans="2:5" ht="47.25" customHeight="1">
      <c r="B9" s="493" t="s">
        <v>1041</v>
      </c>
      <c r="C9" s="493" t="s">
        <v>1060</v>
      </c>
      <c r="D9" s="492" t="s">
        <v>735</v>
      </c>
      <c r="E9" s="492" t="s">
        <v>734</v>
      </c>
    </row>
    <row r="10" spans="2:5" ht="26.25" customHeight="1">
      <c r="B10" s="476" t="s">
        <v>515</v>
      </c>
      <c r="C10" s="475"/>
      <c r="D10" s="475"/>
      <c r="E10" s="474"/>
    </row>
    <row r="11" spans="2:5" ht="31.5" customHeight="1">
      <c r="B11" s="125" t="s">
        <v>1037</v>
      </c>
      <c r="C11" s="382" t="s">
        <v>354</v>
      </c>
      <c r="D11" s="488">
        <v>540</v>
      </c>
      <c r="E11" s="491">
        <v>540</v>
      </c>
    </row>
    <row r="12" spans="2:5" ht="15.75" customHeight="1">
      <c r="B12" s="490"/>
      <c r="C12" s="410" t="s">
        <v>1026</v>
      </c>
      <c r="D12" s="406">
        <f>D11</f>
        <v>540</v>
      </c>
      <c r="E12" s="406">
        <f>E11</f>
        <v>540</v>
      </c>
    </row>
    <row r="13" spans="2:5" ht="26.25" customHeight="1">
      <c r="B13" s="489" t="s">
        <v>1058</v>
      </c>
      <c r="C13" s="489"/>
      <c r="D13" s="489"/>
      <c r="E13" s="489"/>
    </row>
    <row r="14" spans="2:5" ht="35.25" customHeight="1">
      <c r="B14" s="125" t="s">
        <v>1024</v>
      </c>
      <c r="C14" s="350" t="s">
        <v>1057</v>
      </c>
      <c r="D14" s="488">
        <v>17738.4</v>
      </c>
      <c r="E14" s="487">
        <v>20166.4</v>
      </c>
    </row>
    <row r="15" spans="2:5" ht="35.25" customHeight="1">
      <c r="B15" s="125" t="s">
        <v>1022</v>
      </c>
      <c r="C15" s="350" t="s">
        <v>1056</v>
      </c>
      <c r="D15" s="488">
        <v>37.2</v>
      </c>
      <c r="E15" s="487">
        <v>39.8</v>
      </c>
    </row>
    <row r="16" spans="2:5" ht="35.25" customHeight="1">
      <c r="B16" s="125" t="s">
        <v>1020</v>
      </c>
      <c r="C16" s="466" t="s">
        <v>1055</v>
      </c>
      <c r="D16" s="488">
        <v>4065.1</v>
      </c>
      <c r="E16" s="487">
        <v>4349.6</v>
      </c>
    </row>
    <row r="17" spans="2:5" ht="35.25" customHeight="1">
      <c r="B17" s="125" t="s">
        <v>1019</v>
      </c>
      <c r="C17" s="382" t="s">
        <v>354</v>
      </c>
      <c r="D17" s="488">
        <v>150</v>
      </c>
      <c r="E17" s="487">
        <v>150</v>
      </c>
    </row>
    <row r="18" spans="2:5" ht="15.75">
      <c r="B18" s="486"/>
      <c r="C18" s="410" t="s">
        <v>1014</v>
      </c>
      <c r="D18" s="409">
        <f>SUM(D14:D17)</f>
        <v>21990.7</v>
      </c>
      <c r="E18" s="409">
        <f>SUM(E14:E17)</f>
        <v>24705.800000000003</v>
      </c>
    </row>
    <row r="19" spans="2:5" ht="22.5" customHeight="1">
      <c r="B19" s="485"/>
      <c r="C19" s="407" t="s">
        <v>983</v>
      </c>
      <c r="D19" s="406">
        <f>D12+D18</f>
        <v>22530.7</v>
      </c>
      <c r="E19" s="406">
        <f>E12+E18</f>
        <v>25245.800000000003</v>
      </c>
    </row>
  </sheetData>
  <sheetProtection/>
  <mergeCells count="8">
    <mergeCell ref="B10:E10"/>
    <mergeCell ref="B13:E13"/>
    <mergeCell ref="B5:E5"/>
    <mergeCell ref="B6:E6"/>
    <mergeCell ref="B7:E7"/>
    <mergeCell ref="C1:E1"/>
    <mergeCell ref="C2:E2"/>
    <mergeCell ref="C3:E3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3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19.140625" style="183" customWidth="1"/>
    <col min="2" max="2" width="14.00390625" style="183" customWidth="1"/>
    <col min="3" max="3" width="9.140625" style="183" customWidth="1"/>
    <col min="4" max="4" width="38.421875" style="183" customWidth="1"/>
    <col min="5" max="5" width="12.140625" style="184" customWidth="1"/>
    <col min="6" max="6" width="11.421875" style="183" customWidth="1"/>
    <col min="7" max="7" width="9.140625" style="183" customWidth="1"/>
    <col min="8" max="8" width="9.28125" style="183" bestFit="1" customWidth="1"/>
    <col min="9" max="16384" width="9.140625" style="183" customWidth="1"/>
  </cols>
  <sheetData>
    <row r="1" ht="12.75" hidden="1"/>
    <row r="2" spans="3:4" ht="15.75" customHeight="1" hidden="1">
      <c r="C2" s="184"/>
      <c r="D2" s="290"/>
    </row>
    <row r="3" spans="3:4" ht="12.75" customHeight="1" hidden="1">
      <c r="C3" s="184"/>
      <c r="D3" s="284"/>
    </row>
    <row r="4" spans="3:6" ht="17.25" customHeight="1">
      <c r="C4" s="184"/>
      <c r="D4" s="307" t="s">
        <v>737</v>
      </c>
      <c r="E4" s="307"/>
      <c r="F4" s="307"/>
    </row>
    <row r="5" spans="3:6" ht="12.75" customHeight="1">
      <c r="C5" s="184"/>
      <c r="D5" s="306" t="s">
        <v>730</v>
      </c>
      <c r="E5" s="306"/>
      <c r="F5" s="306"/>
    </row>
    <row r="6" spans="3:6" ht="12.75" customHeight="1">
      <c r="C6" s="184"/>
      <c r="D6" s="306" t="s">
        <v>729</v>
      </c>
      <c r="E6" s="306"/>
      <c r="F6" s="306"/>
    </row>
    <row r="7" spans="3:6" ht="12.75" customHeight="1">
      <c r="C7" s="184"/>
      <c r="D7" s="306" t="s">
        <v>536</v>
      </c>
      <c r="E7" s="306"/>
      <c r="F7" s="306"/>
    </row>
    <row r="8" spans="3:4" ht="12.75">
      <c r="C8" s="184"/>
      <c r="D8" s="284"/>
    </row>
    <row r="9" spans="1:6" ht="15.75" customHeight="1">
      <c r="A9" s="283" t="s">
        <v>736</v>
      </c>
      <c r="B9" s="283"/>
      <c r="C9" s="283"/>
      <c r="D9" s="283"/>
      <c r="E9" s="283"/>
      <c r="F9" s="283"/>
    </row>
    <row r="10" spans="1:4" ht="15.75" hidden="1">
      <c r="A10" s="281"/>
      <c r="B10" s="281"/>
      <c r="C10" s="281"/>
      <c r="D10" s="281"/>
    </row>
    <row r="11" spans="1:6" ht="12.75">
      <c r="A11" s="280"/>
      <c r="B11" s="280"/>
      <c r="C11" s="280"/>
      <c r="D11" s="280"/>
      <c r="E11" s="279"/>
      <c r="F11" s="279" t="s">
        <v>98</v>
      </c>
    </row>
    <row r="12" spans="1:6" ht="33.75">
      <c r="A12" s="275" t="s">
        <v>727</v>
      </c>
      <c r="B12" s="278" t="s">
        <v>726</v>
      </c>
      <c r="C12" s="277"/>
      <c r="D12" s="276"/>
      <c r="E12" s="275" t="s">
        <v>735</v>
      </c>
      <c r="F12" s="275" t="s">
        <v>734</v>
      </c>
    </row>
    <row r="13" spans="1:6" ht="12.75">
      <c r="A13" s="271">
        <v>1</v>
      </c>
      <c r="B13" s="274">
        <v>2</v>
      </c>
      <c r="C13" s="273"/>
      <c r="D13" s="272"/>
      <c r="E13" s="271">
        <v>3</v>
      </c>
      <c r="F13" s="271">
        <v>3</v>
      </c>
    </row>
    <row r="14" spans="1:6" ht="24" customHeight="1">
      <c r="A14" s="234" t="s">
        <v>724</v>
      </c>
      <c r="B14" s="232" t="s">
        <v>723</v>
      </c>
      <c r="C14" s="231"/>
      <c r="D14" s="230"/>
      <c r="E14" s="204">
        <f>E15+E21+E24+E29+E33</f>
        <v>522466</v>
      </c>
      <c r="F14" s="204">
        <f>F15+F21+F24+F29+F33</f>
        <v>565554</v>
      </c>
    </row>
    <row r="15" spans="1:6" ht="20.25" customHeight="1">
      <c r="A15" s="234" t="s">
        <v>722</v>
      </c>
      <c r="B15" s="300" t="s">
        <v>721</v>
      </c>
      <c r="C15" s="299"/>
      <c r="D15" s="298"/>
      <c r="E15" s="246">
        <f>E16</f>
        <v>423094</v>
      </c>
      <c r="F15" s="246">
        <f>F16</f>
        <v>462329</v>
      </c>
    </row>
    <row r="16" spans="1:6" ht="18.75" customHeight="1">
      <c r="A16" s="234" t="s">
        <v>720</v>
      </c>
      <c r="B16" s="266" t="s">
        <v>719</v>
      </c>
      <c r="C16" s="265"/>
      <c r="D16" s="264"/>
      <c r="E16" s="192">
        <f>E17+E18+E19+E20</f>
        <v>423094</v>
      </c>
      <c r="F16" s="192">
        <f>F17+F18+F19+F20</f>
        <v>462329</v>
      </c>
    </row>
    <row r="17" spans="1:7" ht="56.25" customHeight="1">
      <c r="A17" s="234" t="s">
        <v>718</v>
      </c>
      <c r="B17" s="266" t="s">
        <v>717</v>
      </c>
      <c r="C17" s="265"/>
      <c r="D17" s="264"/>
      <c r="E17" s="192">
        <v>418440</v>
      </c>
      <c r="F17" s="192">
        <v>457706</v>
      </c>
      <c r="G17" s="270"/>
    </row>
    <row r="18" spans="1:8" ht="93" customHeight="1">
      <c r="A18" s="234" t="s">
        <v>716</v>
      </c>
      <c r="B18" s="266" t="s">
        <v>715</v>
      </c>
      <c r="C18" s="265"/>
      <c r="D18" s="264"/>
      <c r="E18" s="192">
        <v>3650</v>
      </c>
      <c r="F18" s="192">
        <v>3567</v>
      </c>
      <c r="G18" s="270"/>
      <c r="H18" s="270"/>
    </row>
    <row r="19" spans="1:6" ht="51" customHeight="1">
      <c r="A19" s="234" t="s">
        <v>714</v>
      </c>
      <c r="B19" s="266" t="s">
        <v>713</v>
      </c>
      <c r="C19" s="265"/>
      <c r="D19" s="264"/>
      <c r="E19" s="218">
        <v>803</v>
      </c>
      <c r="F19" s="218">
        <v>845</v>
      </c>
    </row>
    <row r="20" spans="1:6" ht="68.25" customHeight="1">
      <c r="A20" s="234" t="s">
        <v>712</v>
      </c>
      <c r="B20" s="269" t="s">
        <v>711</v>
      </c>
      <c r="C20" s="268"/>
      <c r="D20" s="267"/>
      <c r="E20" s="218">
        <v>201</v>
      </c>
      <c r="F20" s="218">
        <v>211</v>
      </c>
    </row>
    <row r="21" spans="1:6" ht="18.75" customHeight="1">
      <c r="A21" s="234" t="s">
        <v>710</v>
      </c>
      <c r="B21" s="300" t="s">
        <v>709</v>
      </c>
      <c r="C21" s="299"/>
      <c r="D21" s="298"/>
      <c r="E21" s="246">
        <f>E22+E23</f>
        <v>68150</v>
      </c>
      <c r="F21" s="246">
        <f>F22+F23</f>
        <v>71558</v>
      </c>
    </row>
    <row r="22" spans="1:8" ht="20.25" customHeight="1">
      <c r="A22" s="196" t="s">
        <v>708</v>
      </c>
      <c r="B22" s="266" t="s">
        <v>707</v>
      </c>
      <c r="C22" s="265"/>
      <c r="D22" s="264"/>
      <c r="E22" s="218">
        <v>68063</v>
      </c>
      <c r="F22" s="218">
        <v>71466</v>
      </c>
      <c r="G22" s="270"/>
      <c r="H22" s="270"/>
    </row>
    <row r="23" spans="1:8" ht="21" customHeight="1">
      <c r="A23" s="196" t="s">
        <v>706</v>
      </c>
      <c r="B23" s="226" t="s">
        <v>705</v>
      </c>
      <c r="C23" s="225"/>
      <c r="D23" s="224"/>
      <c r="E23" s="218">
        <v>87</v>
      </c>
      <c r="F23" s="218">
        <v>92</v>
      </c>
      <c r="G23" s="270"/>
      <c r="H23" s="270"/>
    </row>
    <row r="24" spans="1:6" ht="18" customHeight="1">
      <c r="A24" s="234" t="s">
        <v>702</v>
      </c>
      <c r="B24" s="300" t="s">
        <v>701</v>
      </c>
      <c r="C24" s="299"/>
      <c r="D24" s="298"/>
      <c r="E24" s="246">
        <f>E25+E26</f>
        <v>22382</v>
      </c>
      <c r="F24" s="246">
        <f>F25+F26</f>
        <v>22382</v>
      </c>
    </row>
    <row r="25" spans="1:6" ht="40.5" customHeight="1">
      <c r="A25" s="196" t="s">
        <v>700</v>
      </c>
      <c r="B25" s="266" t="s">
        <v>699</v>
      </c>
      <c r="C25" s="265"/>
      <c r="D25" s="264"/>
      <c r="E25" s="192">
        <v>9262</v>
      </c>
      <c r="F25" s="192">
        <v>9262</v>
      </c>
    </row>
    <row r="26" spans="1:6" ht="20.25" customHeight="1">
      <c r="A26" s="234" t="s">
        <v>698</v>
      </c>
      <c r="B26" s="266" t="s">
        <v>697</v>
      </c>
      <c r="C26" s="265"/>
      <c r="D26" s="264"/>
      <c r="E26" s="192">
        <f>E27+E28</f>
        <v>13120</v>
      </c>
      <c r="F26" s="192">
        <f>F27+F28</f>
        <v>13120</v>
      </c>
    </row>
    <row r="27" spans="1:8" ht="38.25" customHeight="1">
      <c r="A27" s="234" t="s">
        <v>696</v>
      </c>
      <c r="B27" s="266" t="s">
        <v>695</v>
      </c>
      <c r="C27" s="265"/>
      <c r="D27" s="264"/>
      <c r="E27" s="263">
        <v>2073</v>
      </c>
      <c r="F27" s="263">
        <v>2073</v>
      </c>
      <c r="G27" s="270"/>
      <c r="H27" s="270"/>
    </row>
    <row r="28" spans="1:6" ht="39.75" customHeight="1">
      <c r="A28" s="234" t="s">
        <v>694</v>
      </c>
      <c r="B28" s="266" t="s">
        <v>693</v>
      </c>
      <c r="C28" s="265"/>
      <c r="D28" s="264"/>
      <c r="E28" s="263">
        <v>11047</v>
      </c>
      <c r="F28" s="263">
        <v>11047</v>
      </c>
    </row>
    <row r="29" spans="1:6" ht="18" customHeight="1">
      <c r="A29" s="234" t="s">
        <v>692</v>
      </c>
      <c r="B29" s="297" t="s">
        <v>691</v>
      </c>
      <c r="C29" s="296"/>
      <c r="D29" s="295"/>
      <c r="E29" s="218">
        <f>E30+E31+E32</f>
        <v>8840</v>
      </c>
      <c r="F29" s="218">
        <f>F30+F31+F32</f>
        <v>9285</v>
      </c>
    </row>
    <row r="30" spans="1:6" ht="40.5" customHeight="1">
      <c r="A30" s="234" t="s">
        <v>690</v>
      </c>
      <c r="B30" s="226" t="s">
        <v>689</v>
      </c>
      <c r="C30" s="225"/>
      <c r="D30" s="224"/>
      <c r="E30" s="192">
        <v>8742</v>
      </c>
      <c r="F30" s="192">
        <v>9179</v>
      </c>
    </row>
    <row r="31" spans="1:6" ht="25.5" customHeight="1">
      <c r="A31" s="234" t="s">
        <v>688</v>
      </c>
      <c r="B31" s="226" t="s">
        <v>687</v>
      </c>
      <c r="C31" s="225"/>
      <c r="D31" s="224"/>
      <c r="E31" s="192">
        <v>33</v>
      </c>
      <c r="F31" s="192">
        <v>36</v>
      </c>
    </row>
    <row r="32" spans="1:6" ht="72.75" customHeight="1">
      <c r="A32" s="262" t="s">
        <v>686</v>
      </c>
      <c r="B32" s="261" t="s">
        <v>685</v>
      </c>
      <c r="C32" s="260"/>
      <c r="D32" s="259"/>
      <c r="E32" s="192">
        <v>65</v>
      </c>
      <c r="F32" s="192">
        <v>70</v>
      </c>
    </row>
    <row r="33" spans="1:6" s="255" customFormat="1" ht="27" customHeight="1">
      <c r="A33" s="234" t="s">
        <v>684</v>
      </c>
      <c r="B33" s="297" t="s">
        <v>683</v>
      </c>
      <c r="C33" s="296"/>
      <c r="D33" s="295"/>
      <c r="E33" s="305">
        <v>0</v>
      </c>
      <c r="F33" s="305">
        <v>0</v>
      </c>
    </row>
    <row r="34" spans="1:6" s="255" customFormat="1" ht="16.5" customHeight="1" hidden="1">
      <c r="A34" s="234" t="s">
        <v>682</v>
      </c>
      <c r="B34" s="226" t="s">
        <v>681</v>
      </c>
      <c r="C34" s="225"/>
      <c r="D34" s="224"/>
      <c r="E34" s="218"/>
      <c r="F34" s="218"/>
    </row>
    <row r="35" spans="1:6" ht="17.25" customHeight="1" hidden="1">
      <c r="A35" s="234" t="s">
        <v>680</v>
      </c>
      <c r="B35" s="226" t="s">
        <v>679</v>
      </c>
      <c r="C35" s="225"/>
      <c r="D35" s="224"/>
      <c r="E35" s="218"/>
      <c r="F35" s="218"/>
    </row>
    <row r="36" spans="1:6" ht="17.25" customHeight="1" hidden="1">
      <c r="A36" s="234"/>
      <c r="B36" s="226" t="s">
        <v>678</v>
      </c>
      <c r="C36" s="225"/>
      <c r="D36" s="224"/>
      <c r="E36" s="218"/>
      <c r="F36" s="218"/>
    </row>
    <row r="37" spans="1:6" ht="16.5" customHeight="1">
      <c r="A37" s="233"/>
      <c r="B37" s="232" t="s">
        <v>677</v>
      </c>
      <c r="C37" s="231"/>
      <c r="D37" s="230"/>
      <c r="E37" s="228">
        <f>E38+E43+E49+E52+E56+E68</f>
        <v>122294</v>
      </c>
      <c r="F37" s="228">
        <f>F38+F43+F49+F52+F56+F68</f>
        <v>134190</v>
      </c>
    </row>
    <row r="38" spans="1:6" ht="37.5" customHeight="1">
      <c r="A38" s="234" t="s">
        <v>676</v>
      </c>
      <c r="B38" s="300" t="s">
        <v>675</v>
      </c>
      <c r="C38" s="299"/>
      <c r="D38" s="298"/>
      <c r="E38" s="304">
        <f>E39+E40+E41+E42</f>
        <v>69925</v>
      </c>
      <c r="F38" s="304">
        <f>F39+F40+F41+F42</f>
        <v>75660</v>
      </c>
    </row>
    <row r="39" spans="1:6" ht="64.5" customHeight="1">
      <c r="A39" s="196" t="s">
        <v>674</v>
      </c>
      <c r="B39" s="252" t="s">
        <v>673</v>
      </c>
      <c r="C39" s="251"/>
      <c r="D39" s="250"/>
      <c r="E39" s="192">
        <v>15300</v>
      </c>
      <c r="F39" s="192">
        <v>15600</v>
      </c>
    </row>
    <row r="40" spans="1:6" ht="51" customHeight="1">
      <c r="A40" s="196" t="s">
        <v>672</v>
      </c>
      <c r="B40" s="252" t="s">
        <v>671</v>
      </c>
      <c r="C40" s="251"/>
      <c r="D40" s="250"/>
      <c r="E40" s="192">
        <v>400</v>
      </c>
      <c r="F40" s="192">
        <v>480</v>
      </c>
    </row>
    <row r="41" spans="1:6" ht="39" customHeight="1">
      <c r="A41" s="196" t="s">
        <v>670</v>
      </c>
      <c r="B41" s="226" t="s">
        <v>669</v>
      </c>
      <c r="C41" s="225"/>
      <c r="D41" s="224"/>
      <c r="E41" s="192">
        <v>225</v>
      </c>
      <c r="F41" s="192">
        <v>230</v>
      </c>
    </row>
    <row r="42" spans="1:6" ht="63" customHeight="1">
      <c r="A42" s="234" t="s">
        <v>668</v>
      </c>
      <c r="B42" s="226" t="s">
        <v>667</v>
      </c>
      <c r="C42" s="225"/>
      <c r="D42" s="224"/>
      <c r="E42" s="192">
        <v>54000</v>
      </c>
      <c r="F42" s="192">
        <v>59350</v>
      </c>
    </row>
    <row r="43" spans="1:6" ht="17.25" customHeight="1">
      <c r="A43" s="234" t="s">
        <v>666</v>
      </c>
      <c r="B43" s="300" t="s">
        <v>665</v>
      </c>
      <c r="C43" s="299"/>
      <c r="D43" s="298"/>
      <c r="E43" s="246">
        <f>E44+E45+E46+E47+E48</f>
        <v>1775</v>
      </c>
      <c r="F43" s="246">
        <f>F44+F45+F46+F47+F48</f>
        <v>1917</v>
      </c>
    </row>
    <row r="44" spans="1:6" ht="26.25" customHeight="1">
      <c r="A44" s="234" t="s">
        <v>664</v>
      </c>
      <c r="B44" s="226" t="s">
        <v>663</v>
      </c>
      <c r="C44" s="225"/>
      <c r="D44" s="224"/>
      <c r="E44" s="246">
        <v>23</v>
      </c>
      <c r="F44" s="246">
        <v>25</v>
      </c>
    </row>
    <row r="45" spans="1:6" ht="26.25" customHeight="1">
      <c r="A45" s="234" t="s">
        <v>662</v>
      </c>
      <c r="B45" s="226" t="s">
        <v>661</v>
      </c>
      <c r="C45" s="225"/>
      <c r="D45" s="224"/>
      <c r="E45" s="246">
        <v>14</v>
      </c>
      <c r="F45" s="246">
        <v>15</v>
      </c>
    </row>
    <row r="46" spans="1:6" ht="17.25" customHeight="1">
      <c r="A46" s="234" t="s">
        <v>660</v>
      </c>
      <c r="B46" s="226" t="s">
        <v>659</v>
      </c>
      <c r="C46" s="225"/>
      <c r="D46" s="224"/>
      <c r="E46" s="246">
        <v>198</v>
      </c>
      <c r="F46" s="246">
        <v>214</v>
      </c>
    </row>
    <row r="47" spans="1:6" ht="17.25" customHeight="1">
      <c r="A47" s="234" t="s">
        <v>658</v>
      </c>
      <c r="B47" s="226" t="s">
        <v>657</v>
      </c>
      <c r="C47" s="225"/>
      <c r="D47" s="224"/>
      <c r="E47" s="246">
        <v>257</v>
      </c>
      <c r="F47" s="246">
        <v>277</v>
      </c>
    </row>
    <row r="48" spans="1:6" ht="23.25" customHeight="1">
      <c r="A48" s="234" t="s">
        <v>656</v>
      </c>
      <c r="B48" s="226" t="s">
        <v>733</v>
      </c>
      <c r="C48" s="225"/>
      <c r="D48" s="224"/>
      <c r="E48" s="192">
        <v>1283</v>
      </c>
      <c r="F48" s="192">
        <v>1386</v>
      </c>
    </row>
    <row r="49" spans="1:6" ht="26.25" customHeight="1">
      <c r="A49" s="234" t="s">
        <v>654</v>
      </c>
      <c r="B49" s="303" t="s">
        <v>653</v>
      </c>
      <c r="C49" s="302"/>
      <c r="D49" s="301"/>
      <c r="E49" s="246">
        <f>E51+E50</f>
        <v>790</v>
      </c>
      <c r="F49" s="246">
        <f>F51+F50</f>
        <v>795</v>
      </c>
    </row>
    <row r="50" spans="1:7" ht="26.25" customHeight="1">
      <c r="A50" s="196" t="s">
        <v>652</v>
      </c>
      <c r="B50" s="195" t="s">
        <v>651</v>
      </c>
      <c r="C50" s="240"/>
      <c r="D50" s="239"/>
      <c r="E50" s="246">
        <v>250</v>
      </c>
      <c r="F50" s="246">
        <v>250</v>
      </c>
      <c r="G50" s="270"/>
    </row>
    <row r="51" spans="1:6" ht="18.75" customHeight="1">
      <c r="A51" s="196" t="s">
        <v>650</v>
      </c>
      <c r="B51" s="195" t="s">
        <v>649</v>
      </c>
      <c r="C51" s="240"/>
      <c r="D51" s="239"/>
      <c r="E51" s="218">
        <v>540</v>
      </c>
      <c r="F51" s="218">
        <v>545</v>
      </c>
    </row>
    <row r="52" spans="1:6" ht="24.75" customHeight="1">
      <c r="A52" s="234" t="s">
        <v>648</v>
      </c>
      <c r="B52" s="300" t="s">
        <v>647</v>
      </c>
      <c r="C52" s="299"/>
      <c r="D52" s="298"/>
      <c r="E52" s="246">
        <f>E53+E54+E55</f>
        <v>46000</v>
      </c>
      <c r="F52" s="246">
        <f>F53+F54+F55</f>
        <v>52000</v>
      </c>
    </row>
    <row r="53" spans="1:6" ht="66" customHeight="1">
      <c r="A53" s="196" t="s">
        <v>646</v>
      </c>
      <c r="B53" s="226" t="s">
        <v>645</v>
      </c>
      <c r="C53" s="225"/>
      <c r="D53" s="224"/>
      <c r="E53" s="192">
        <v>35000</v>
      </c>
      <c r="F53" s="192">
        <v>40000</v>
      </c>
    </row>
    <row r="54" spans="1:6" ht="38.25" customHeight="1">
      <c r="A54" s="234" t="s">
        <v>644</v>
      </c>
      <c r="B54" s="226" t="s">
        <v>643</v>
      </c>
      <c r="C54" s="225"/>
      <c r="D54" s="224"/>
      <c r="E54" s="218">
        <v>5500</v>
      </c>
      <c r="F54" s="218">
        <v>6000</v>
      </c>
    </row>
    <row r="55" spans="1:6" ht="39.75" customHeight="1">
      <c r="A55" s="234" t="s">
        <v>642</v>
      </c>
      <c r="B55" s="226" t="s">
        <v>641</v>
      </c>
      <c r="C55" s="225"/>
      <c r="D55" s="224"/>
      <c r="E55" s="192">
        <v>5500</v>
      </c>
      <c r="F55" s="192">
        <v>6000</v>
      </c>
    </row>
    <row r="56" spans="1:6" ht="18" customHeight="1">
      <c r="A56" s="234" t="s">
        <v>640</v>
      </c>
      <c r="B56" s="300" t="s">
        <v>639</v>
      </c>
      <c r="C56" s="299"/>
      <c r="D56" s="298"/>
      <c r="E56" s="192">
        <f>E57+E58+E59+E60+E63+E64+E65+E66+E67</f>
        <v>3804</v>
      </c>
      <c r="F56" s="192">
        <f>F57+F58+F59+F60+F63+F64+F65+F66+F67</f>
        <v>3818</v>
      </c>
    </row>
    <row r="57" spans="1:6" ht="65.25" customHeight="1">
      <c r="A57" s="234" t="s">
        <v>638</v>
      </c>
      <c r="B57" s="195" t="s">
        <v>637</v>
      </c>
      <c r="C57" s="240"/>
      <c r="D57" s="239"/>
      <c r="E57" s="192">
        <v>66</v>
      </c>
      <c r="F57" s="192">
        <v>69</v>
      </c>
    </row>
    <row r="58" spans="1:6" ht="39" customHeight="1">
      <c r="A58" s="234" t="s">
        <v>636</v>
      </c>
      <c r="B58" s="226" t="s">
        <v>635</v>
      </c>
      <c r="C58" s="225"/>
      <c r="D58" s="224"/>
      <c r="E58" s="192">
        <v>39</v>
      </c>
      <c r="F58" s="192">
        <v>40</v>
      </c>
    </row>
    <row r="59" spans="1:6" ht="54.75" customHeight="1">
      <c r="A59" s="234" t="s">
        <v>634</v>
      </c>
      <c r="B59" s="226" t="s">
        <v>633</v>
      </c>
      <c r="C59" s="225"/>
      <c r="D59" s="224"/>
      <c r="E59" s="192">
        <v>18</v>
      </c>
      <c r="F59" s="192">
        <v>19</v>
      </c>
    </row>
    <row r="60" spans="1:6" ht="68.25" customHeight="1">
      <c r="A60" s="196" t="s">
        <v>632</v>
      </c>
      <c r="B60" s="226" t="s">
        <v>631</v>
      </c>
      <c r="C60" s="225"/>
      <c r="D60" s="224"/>
      <c r="E60" s="192">
        <f>E61+E62</f>
        <v>109</v>
      </c>
      <c r="F60" s="192">
        <f>F61+F62</f>
        <v>109</v>
      </c>
    </row>
    <row r="61" spans="1:6" ht="27.75" customHeight="1">
      <c r="A61" s="234" t="s">
        <v>630</v>
      </c>
      <c r="B61" s="226" t="s">
        <v>629</v>
      </c>
      <c r="C61" s="225"/>
      <c r="D61" s="224"/>
      <c r="E61" s="192">
        <v>30</v>
      </c>
      <c r="F61" s="192">
        <v>30</v>
      </c>
    </row>
    <row r="62" spans="1:6" ht="30" customHeight="1">
      <c r="A62" s="234" t="s">
        <v>628</v>
      </c>
      <c r="B62" s="226" t="s">
        <v>627</v>
      </c>
      <c r="C62" s="225"/>
      <c r="D62" s="224"/>
      <c r="E62" s="192">
        <v>79</v>
      </c>
      <c r="F62" s="192">
        <v>79</v>
      </c>
    </row>
    <row r="63" spans="1:6" ht="42.75" customHeight="1">
      <c r="A63" s="234" t="s">
        <v>626</v>
      </c>
      <c r="B63" s="226" t="s">
        <v>625</v>
      </c>
      <c r="C63" s="225"/>
      <c r="D63" s="224"/>
      <c r="E63" s="192">
        <v>150</v>
      </c>
      <c r="F63" s="192">
        <v>150</v>
      </c>
    </row>
    <row r="64" spans="1:8" ht="43.5" customHeight="1">
      <c r="A64" s="234" t="s">
        <v>624</v>
      </c>
      <c r="B64" s="226" t="s">
        <v>623</v>
      </c>
      <c r="C64" s="225"/>
      <c r="D64" s="224"/>
      <c r="E64" s="238">
        <v>30</v>
      </c>
      <c r="F64" s="238">
        <v>30</v>
      </c>
      <c r="G64" s="270"/>
      <c r="H64" s="270"/>
    </row>
    <row r="65" spans="1:6" ht="39.75" customHeight="1">
      <c r="A65" s="234" t="s">
        <v>622</v>
      </c>
      <c r="B65" s="226" t="s">
        <v>621</v>
      </c>
      <c r="C65" s="225"/>
      <c r="D65" s="224"/>
      <c r="E65" s="218">
        <v>20</v>
      </c>
      <c r="F65" s="218">
        <v>20</v>
      </c>
    </row>
    <row r="66" spans="1:6" ht="56.25" customHeight="1">
      <c r="A66" s="234" t="s">
        <v>620</v>
      </c>
      <c r="B66" s="226" t="s">
        <v>619</v>
      </c>
      <c r="C66" s="225"/>
      <c r="D66" s="224"/>
      <c r="E66" s="218">
        <v>72</v>
      </c>
      <c r="F66" s="218">
        <v>72</v>
      </c>
    </row>
    <row r="67" spans="1:6" ht="28.5" customHeight="1">
      <c r="A67" s="234" t="s">
        <v>618</v>
      </c>
      <c r="B67" s="226" t="s">
        <v>617</v>
      </c>
      <c r="C67" s="225"/>
      <c r="D67" s="224"/>
      <c r="E67" s="192">
        <v>3300</v>
      </c>
      <c r="F67" s="192">
        <v>3309</v>
      </c>
    </row>
    <row r="68" spans="1:6" ht="16.5" customHeight="1">
      <c r="A68" s="234" t="s">
        <v>616</v>
      </c>
      <c r="B68" s="297" t="s">
        <v>615</v>
      </c>
      <c r="C68" s="296"/>
      <c r="D68" s="295"/>
      <c r="E68" s="218">
        <f>+E69</f>
        <v>0</v>
      </c>
      <c r="F68" s="218">
        <f>+F69</f>
        <v>0</v>
      </c>
    </row>
    <row r="69" spans="1:6" ht="21" customHeight="1">
      <c r="A69" s="234" t="s">
        <v>614</v>
      </c>
      <c r="B69" s="226" t="s">
        <v>613</v>
      </c>
      <c r="C69" s="225"/>
      <c r="D69" s="224"/>
      <c r="E69" s="192">
        <v>0</v>
      </c>
      <c r="F69" s="192">
        <v>0</v>
      </c>
    </row>
    <row r="70" spans="1:6" ht="16.5" customHeight="1">
      <c r="A70" s="233"/>
      <c r="B70" s="232" t="s">
        <v>612</v>
      </c>
      <c r="C70" s="231"/>
      <c r="D70" s="230"/>
      <c r="E70" s="204">
        <f>E37+E14</f>
        <v>644760</v>
      </c>
      <c r="F70" s="204">
        <f>F37+F14</f>
        <v>699744</v>
      </c>
    </row>
    <row r="71" spans="1:8" ht="16.5" customHeight="1">
      <c r="A71" s="196" t="s">
        <v>611</v>
      </c>
      <c r="B71" s="229" t="s">
        <v>610</v>
      </c>
      <c r="C71" s="229"/>
      <c r="D71" s="229"/>
      <c r="E71" s="204">
        <f>E72</f>
        <v>373229.4</v>
      </c>
      <c r="F71" s="204">
        <f>F72</f>
        <v>364414.60000000003</v>
      </c>
      <c r="G71" s="291"/>
      <c r="H71" s="291"/>
    </row>
    <row r="72" spans="1:8" ht="27" customHeight="1">
      <c r="A72" s="196" t="s">
        <v>609</v>
      </c>
      <c r="B72" s="229" t="s">
        <v>608</v>
      </c>
      <c r="C72" s="229"/>
      <c r="D72" s="229"/>
      <c r="E72" s="228">
        <f>E73+E74+E75+E89</f>
        <v>373229.4</v>
      </c>
      <c r="F72" s="228">
        <f>F73+F74+F75+F89</f>
        <v>364414.60000000003</v>
      </c>
      <c r="G72" s="291"/>
      <c r="H72" s="291"/>
    </row>
    <row r="73" spans="1:6" ht="28.5" customHeight="1">
      <c r="A73" s="196" t="s">
        <v>607</v>
      </c>
      <c r="B73" s="226" t="s">
        <v>606</v>
      </c>
      <c r="C73" s="225"/>
      <c r="D73" s="224"/>
      <c r="E73" s="192">
        <v>2017.6</v>
      </c>
      <c r="F73" s="192">
        <v>2155.4</v>
      </c>
    </row>
    <row r="74" spans="1:6" ht="28.5" customHeight="1">
      <c r="A74" s="196" t="s">
        <v>605</v>
      </c>
      <c r="B74" s="294" t="s">
        <v>732</v>
      </c>
      <c r="C74" s="293"/>
      <c r="D74" s="292"/>
      <c r="E74" s="192">
        <v>88530.7</v>
      </c>
      <c r="F74" s="192">
        <v>76813</v>
      </c>
    </row>
    <row r="75" spans="1:8" ht="28.5" customHeight="1">
      <c r="A75" s="196" t="s">
        <v>598</v>
      </c>
      <c r="B75" s="223" t="s">
        <v>597</v>
      </c>
      <c r="C75" s="222"/>
      <c r="D75" s="221"/>
      <c r="E75" s="204">
        <f>E76+E77+E78+E79+E80</f>
        <v>62520.2</v>
      </c>
      <c r="F75" s="204">
        <f>F76+F77+F78+F79+F80</f>
        <v>65285.3</v>
      </c>
      <c r="G75" s="203"/>
      <c r="H75" s="203"/>
    </row>
    <row r="76" spans="1:6" ht="28.5" customHeight="1">
      <c r="A76" s="196" t="s">
        <v>596</v>
      </c>
      <c r="B76" s="210" t="s">
        <v>595</v>
      </c>
      <c r="C76" s="220"/>
      <c r="D76" s="219"/>
      <c r="E76" s="218">
        <v>7249.5</v>
      </c>
      <c r="F76" s="218">
        <v>7299.5</v>
      </c>
    </row>
    <row r="77" spans="1:6" ht="57" customHeight="1">
      <c r="A77" s="196" t="s">
        <v>594</v>
      </c>
      <c r="B77" s="210" t="s">
        <v>593</v>
      </c>
      <c r="C77" s="217"/>
      <c r="D77" s="216"/>
      <c r="E77" s="192">
        <v>14168.7</v>
      </c>
      <c r="F77" s="192">
        <v>14168.7</v>
      </c>
    </row>
    <row r="78" spans="1:6" ht="57.75" customHeight="1">
      <c r="A78" s="196" t="s">
        <v>592</v>
      </c>
      <c r="B78" s="210" t="s">
        <v>591</v>
      </c>
      <c r="C78" s="217"/>
      <c r="D78" s="216"/>
      <c r="E78" s="192">
        <v>13665.4</v>
      </c>
      <c r="F78" s="192">
        <v>13665.4</v>
      </c>
    </row>
    <row r="79" spans="1:6" ht="41.25" customHeight="1">
      <c r="A79" s="196" t="s">
        <v>590</v>
      </c>
      <c r="B79" s="210" t="s">
        <v>589</v>
      </c>
      <c r="C79" s="217"/>
      <c r="D79" s="216"/>
      <c r="E79" s="192">
        <v>17738.4</v>
      </c>
      <c r="F79" s="192">
        <v>20166.4</v>
      </c>
    </row>
    <row r="80" spans="1:8" ht="21.75" customHeight="1">
      <c r="A80" s="196" t="s">
        <v>577</v>
      </c>
      <c r="B80" s="213" t="s">
        <v>586</v>
      </c>
      <c r="C80" s="212"/>
      <c r="D80" s="211"/>
      <c r="E80" s="204">
        <f>E81+E82+E83+E84+E85+E86+E87+E88</f>
        <v>9698.199999999999</v>
      </c>
      <c r="F80" s="204">
        <f>F81+F82+F83+F84+F85+F86+F87+F88</f>
        <v>9985.3</v>
      </c>
      <c r="G80" s="203"/>
      <c r="H80" s="203"/>
    </row>
    <row r="81" spans="1:6" ht="28.5" customHeight="1">
      <c r="A81" s="196" t="s">
        <v>577</v>
      </c>
      <c r="B81" s="210" t="s">
        <v>585</v>
      </c>
      <c r="C81" s="209"/>
      <c r="D81" s="208"/>
      <c r="E81" s="192">
        <v>525.3</v>
      </c>
      <c r="F81" s="192">
        <v>525.3</v>
      </c>
    </row>
    <row r="82" spans="1:6" ht="40.5" customHeight="1">
      <c r="A82" s="196" t="s">
        <v>577</v>
      </c>
      <c r="B82" s="195" t="s">
        <v>584</v>
      </c>
      <c r="C82" s="207"/>
      <c r="D82" s="206"/>
      <c r="E82" s="192">
        <v>434.5</v>
      </c>
      <c r="F82" s="192">
        <v>434.5</v>
      </c>
    </row>
    <row r="83" spans="1:6" ht="41.25" customHeight="1">
      <c r="A83" s="196" t="s">
        <v>577</v>
      </c>
      <c r="B83" s="195" t="s">
        <v>583</v>
      </c>
      <c r="C83" s="207"/>
      <c r="D83" s="206"/>
      <c r="E83" s="192">
        <v>1542.9</v>
      </c>
      <c r="F83" s="192">
        <v>1542.9</v>
      </c>
    </row>
    <row r="84" spans="1:6" ht="42" customHeight="1">
      <c r="A84" s="196" t="s">
        <v>577</v>
      </c>
      <c r="B84" s="195" t="s">
        <v>582</v>
      </c>
      <c r="C84" s="207"/>
      <c r="D84" s="206"/>
      <c r="E84" s="192">
        <v>2087.2</v>
      </c>
      <c r="F84" s="192">
        <v>2087.2</v>
      </c>
    </row>
    <row r="85" spans="1:6" ht="79.5" customHeight="1">
      <c r="A85" s="196" t="s">
        <v>577</v>
      </c>
      <c r="B85" s="205" t="s">
        <v>581</v>
      </c>
      <c r="C85" s="202"/>
      <c r="D85" s="201"/>
      <c r="E85" s="192">
        <v>514.3</v>
      </c>
      <c r="F85" s="192">
        <v>514.3</v>
      </c>
    </row>
    <row r="86" spans="1:6" ht="31.5" customHeight="1">
      <c r="A86" s="196" t="s">
        <v>577</v>
      </c>
      <c r="B86" s="195" t="s">
        <v>580</v>
      </c>
      <c r="C86" s="202"/>
      <c r="D86" s="201"/>
      <c r="E86" s="192">
        <v>491.7</v>
      </c>
      <c r="F86" s="192">
        <v>491.7</v>
      </c>
    </row>
    <row r="87" spans="1:6" ht="42" customHeight="1">
      <c r="A87" s="196" t="s">
        <v>577</v>
      </c>
      <c r="B87" s="195" t="s">
        <v>579</v>
      </c>
      <c r="C87" s="202"/>
      <c r="D87" s="201"/>
      <c r="E87" s="192">
        <v>37.2</v>
      </c>
      <c r="F87" s="192">
        <v>39.8</v>
      </c>
    </row>
    <row r="88" spans="1:6" ht="42" customHeight="1">
      <c r="A88" s="196" t="s">
        <v>577</v>
      </c>
      <c r="B88" s="195" t="s">
        <v>578</v>
      </c>
      <c r="C88" s="202"/>
      <c r="D88" s="201"/>
      <c r="E88" s="192">
        <v>4065.1</v>
      </c>
      <c r="F88" s="192">
        <v>4349.6</v>
      </c>
    </row>
    <row r="89" spans="1:6" ht="22.5" customHeight="1">
      <c r="A89" s="200" t="s">
        <v>575</v>
      </c>
      <c r="B89" s="199" t="s">
        <v>574</v>
      </c>
      <c r="C89" s="198"/>
      <c r="D89" s="197"/>
      <c r="E89" s="204">
        <f>E90+E91</f>
        <v>220160.90000000002</v>
      </c>
      <c r="F89" s="204">
        <f>F90+F91</f>
        <v>220160.90000000002</v>
      </c>
    </row>
    <row r="90" spans="1:6" ht="42" customHeight="1">
      <c r="A90" s="196" t="s">
        <v>573</v>
      </c>
      <c r="B90" s="195" t="s">
        <v>572</v>
      </c>
      <c r="C90" s="202"/>
      <c r="D90" s="201"/>
      <c r="E90" s="192">
        <v>132.7</v>
      </c>
      <c r="F90" s="192">
        <v>132.7</v>
      </c>
    </row>
    <row r="91" spans="1:6" ht="29.25" customHeight="1">
      <c r="A91" s="200" t="s">
        <v>570</v>
      </c>
      <c r="B91" s="199" t="s">
        <v>571</v>
      </c>
      <c r="C91" s="198"/>
      <c r="D91" s="197"/>
      <c r="E91" s="204">
        <f>E92</f>
        <v>220028.2</v>
      </c>
      <c r="F91" s="204">
        <f>F92</f>
        <v>220028.2</v>
      </c>
    </row>
    <row r="92" spans="1:8" ht="61.5" customHeight="1">
      <c r="A92" s="196" t="s">
        <v>570</v>
      </c>
      <c r="B92" s="195" t="s">
        <v>569</v>
      </c>
      <c r="C92" s="202"/>
      <c r="D92" s="201"/>
      <c r="E92" s="192">
        <v>220028.2</v>
      </c>
      <c r="F92" s="192">
        <v>220028.2</v>
      </c>
      <c r="H92" s="291"/>
    </row>
    <row r="93" spans="1:6" ht="12.75" customHeight="1">
      <c r="A93" s="190" t="s">
        <v>564</v>
      </c>
      <c r="B93" s="189"/>
      <c r="C93" s="189"/>
      <c r="D93" s="188"/>
      <c r="E93" s="187">
        <f>E71+E70</f>
        <v>1017989.4</v>
      </c>
      <c r="F93" s="187">
        <f>F71+F70</f>
        <v>1064158.6</v>
      </c>
    </row>
  </sheetData>
  <sheetProtection/>
  <mergeCells count="88">
    <mergeCell ref="B85:D85"/>
    <mergeCell ref="B86:D86"/>
    <mergeCell ref="B87:D87"/>
    <mergeCell ref="B79:D79"/>
    <mergeCell ref="B64:D64"/>
    <mergeCell ref="B83:D83"/>
    <mergeCell ref="B77:D77"/>
    <mergeCell ref="B78:D78"/>
    <mergeCell ref="D5:F5"/>
    <mergeCell ref="D6:F6"/>
    <mergeCell ref="D7:F7"/>
    <mergeCell ref="A9:F9"/>
    <mergeCell ref="B72:D72"/>
    <mergeCell ref="B66:D66"/>
    <mergeCell ref="B65:D65"/>
    <mergeCell ref="B51:D51"/>
    <mergeCell ref="B55:D55"/>
    <mergeCell ref="B61:D61"/>
    <mergeCell ref="A93:D93"/>
    <mergeCell ref="B73:D73"/>
    <mergeCell ref="B68:D68"/>
    <mergeCell ref="B69:D69"/>
    <mergeCell ref="B70:D70"/>
    <mergeCell ref="B75:D75"/>
    <mergeCell ref="B90:D90"/>
    <mergeCell ref="B74:D74"/>
    <mergeCell ref="B91:D91"/>
    <mergeCell ref="B88:D88"/>
    <mergeCell ref="B62:D62"/>
    <mergeCell ref="B63:D63"/>
    <mergeCell ref="B71:D71"/>
    <mergeCell ref="B52:D52"/>
    <mergeCell ref="B48:D48"/>
    <mergeCell ref="B56:D56"/>
    <mergeCell ref="B57:D57"/>
    <mergeCell ref="B58:D58"/>
    <mergeCell ref="B67:D67"/>
    <mergeCell ref="B50:D50"/>
    <mergeCell ref="B60:D60"/>
    <mergeCell ref="B59:D59"/>
    <mergeCell ref="B12:D12"/>
    <mergeCell ref="B13:D13"/>
    <mergeCell ref="B39:D39"/>
    <mergeCell ref="B26:D26"/>
    <mergeCell ref="B22:D22"/>
    <mergeCell ref="B53:D53"/>
    <mergeCell ref="B37:D37"/>
    <mergeCell ref="B38:D38"/>
    <mergeCell ref="B33:D33"/>
    <mergeCell ref="B34:D34"/>
    <mergeCell ref="B29:D29"/>
    <mergeCell ref="B40:D40"/>
    <mergeCell ref="B82:D82"/>
    <mergeCell ref="B20:D20"/>
    <mergeCell ref="B42:D42"/>
    <mergeCell ref="B43:D43"/>
    <mergeCell ref="B47:D47"/>
    <mergeCell ref="B27:D27"/>
    <mergeCell ref="B54:D54"/>
    <mergeCell ref="B36:D36"/>
    <mergeCell ref="B30:D30"/>
    <mergeCell ref="B31:D31"/>
    <mergeCell ref="B35:D35"/>
    <mergeCell ref="B32:D32"/>
    <mergeCell ref="B44:D44"/>
    <mergeCell ref="B49:D49"/>
    <mergeCell ref="B45:D45"/>
    <mergeCell ref="B46:D46"/>
    <mergeCell ref="B41:D41"/>
    <mergeCell ref="B24:D24"/>
    <mergeCell ref="B25:D25"/>
    <mergeCell ref="B23:D23"/>
    <mergeCell ref="B92:D92"/>
    <mergeCell ref="B76:D76"/>
    <mergeCell ref="B80:D80"/>
    <mergeCell ref="B81:D81"/>
    <mergeCell ref="B84:D84"/>
    <mergeCell ref="B89:D89"/>
    <mergeCell ref="D4:F4"/>
    <mergeCell ref="B28:D28"/>
    <mergeCell ref="B14:D14"/>
    <mergeCell ref="B15:D15"/>
    <mergeCell ref="B16:D16"/>
    <mergeCell ref="A10:D10"/>
    <mergeCell ref="B17:D17"/>
    <mergeCell ref="B18:D18"/>
    <mergeCell ref="B19:D19"/>
    <mergeCell ref="B21:D21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77.28125" style="1" customWidth="1"/>
    <col min="3" max="3" width="27.140625" style="1" customWidth="1"/>
    <col min="4" max="16384" width="9.140625" style="1" customWidth="1"/>
  </cols>
  <sheetData>
    <row r="1" spans="2:4" ht="16.5">
      <c r="B1" s="85"/>
      <c r="C1" s="84" t="s">
        <v>102</v>
      </c>
      <c r="D1" s="82"/>
    </row>
    <row r="2" spans="3:4" ht="47.25" customHeight="1">
      <c r="C2" s="83" t="s">
        <v>101</v>
      </c>
      <c r="D2" s="83"/>
    </row>
    <row r="3" spans="3:4" ht="18.75" customHeight="1">
      <c r="C3" s="83" t="s">
        <v>100</v>
      </c>
      <c r="D3" s="83"/>
    </row>
    <row r="4" spans="3:4" ht="19.5" customHeight="1">
      <c r="C4" s="82"/>
      <c r="D4" s="82"/>
    </row>
    <row r="5" spans="1:12" ht="32.25" customHeight="1">
      <c r="A5" s="81" t="s">
        <v>99</v>
      </c>
      <c r="B5" s="81"/>
      <c r="C5" s="81"/>
      <c r="D5" s="80"/>
      <c r="E5" s="80"/>
      <c r="F5" s="80"/>
      <c r="G5" s="80"/>
      <c r="H5" s="80"/>
      <c r="I5" s="80"/>
      <c r="J5" s="80"/>
      <c r="K5" s="80"/>
      <c r="L5" s="80"/>
    </row>
    <row r="6" spans="1:2" ht="0.75" customHeight="1" hidden="1">
      <c r="A6" s="79"/>
      <c r="B6" s="79"/>
    </row>
    <row r="7" spans="1:3" ht="22.5" customHeight="1">
      <c r="A7" s="78"/>
      <c r="B7" s="78"/>
      <c r="C7" s="77" t="s">
        <v>98</v>
      </c>
    </row>
    <row r="8" spans="1:3" ht="60" customHeight="1">
      <c r="A8" s="76" t="s">
        <v>97</v>
      </c>
      <c r="B8" s="76" t="s">
        <v>96</v>
      </c>
      <c r="C8" s="75" t="s">
        <v>95</v>
      </c>
    </row>
    <row r="9" spans="1:3" ht="15">
      <c r="A9" s="74">
        <v>1</v>
      </c>
      <c r="B9" s="73">
        <v>2</v>
      </c>
      <c r="C9" s="72">
        <v>3</v>
      </c>
    </row>
    <row r="10" spans="1:3" ht="18" customHeight="1">
      <c r="A10" s="54" t="s">
        <v>94</v>
      </c>
      <c r="B10" s="33" t="s">
        <v>93</v>
      </c>
      <c r="C10" s="41">
        <f>SUM(C11:C17)</f>
        <v>129306.7</v>
      </c>
    </row>
    <row r="11" spans="1:3" ht="32.25" customHeight="1">
      <c r="A11" s="46" t="s">
        <v>92</v>
      </c>
      <c r="B11" s="71" t="s">
        <v>91</v>
      </c>
      <c r="C11" s="39">
        <f>'Приложение №4'!G27</f>
        <v>1276</v>
      </c>
    </row>
    <row r="12" spans="1:3" ht="50.25" customHeight="1">
      <c r="A12" s="46" t="s">
        <v>90</v>
      </c>
      <c r="B12" s="70" t="s">
        <v>89</v>
      </c>
      <c r="C12" s="39">
        <f>'Приложение №4'!G14</f>
        <v>5346</v>
      </c>
    </row>
    <row r="13" spans="1:3" ht="47.25" customHeight="1">
      <c r="A13" s="46" t="s">
        <v>88</v>
      </c>
      <c r="B13" s="70" t="s">
        <v>87</v>
      </c>
      <c r="C13" s="39">
        <f>'Приложение №4'!G31</f>
        <v>49117</v>
      </c>
    </row>
    <row r="14" spans="1:3" ht="30.75" customHeight="1">
      <c r="A14" s="46" t="s">
        <v>86</v>
      </c>
      <c r="B14" s="60" t="s">
        <v>85</v>
      </c>
      <c r="C14" s="39">
        <f>'Приложение №4'!G168+'Приложение №4'!G212</f>
        <v>15485</v>
      </c>
    </row>
    <row r="15" spans="1:3" ht="30.75" customHeight="1">
      <c r="A15" s="46" t="s">
        <v>84</v>
      </c>
      <c r="B15" s="69" t="s">
        <v>83</v>
      </c>
      <c r="C15" s="39">
        <f>'Приложение №4'!G42</f>
        <v>3000</v>
      </c>
    </row>
    <row r="16" spans="1:3" ht="15.75" customHeight="1">
      <c r="A16" s="56" t="s">
        <v>82</v>
      </c>
      <c r="B16" s="37" t="s">
        <v>81</v>
      </c>
      <c r="C16" s="39">
        <f>'Приложение №4'!G46</f>
        <v>2912.4</v>
      </c>
    </row>
    <row r="17" spans="1:3" ht="15.75">
      <c r="A17" s="56" t="s">
        <v>80</v>
      </c>
      <c r="B17" s="21" t="s">
        <v>79</v>
      </c>
      <c r="C17" s="39">
        <f>'Приложение №4'!G50+'Приложение №4'!G186+'Приложение №4'!G336+'Приложение №4'!G177</f>
        <v>52170.3</v>
      </c>
    </row>
    <row r="18" spans="1:3" ht="30.75" customHeight="1">
      <c r="A18" s="68" t="s">
        <v>78</v>
      </c>
      <c r="B18" s="67" t="s">
        <v>77</v>
      </c>
      <c r="C18" s="41">
        <f>C20+C19</f>
        <v>12541.046250000001</v>
      </c>
    </row>
    <row r="19" spans="1:3" ht="16.5" customHeight="1">
      <c r="A19" s="46" t="s">
        <v>76</v>
      </c>
      <c r="B19" s="66" t="s">
        <v>75</v>
      </c>
      <c r="C19" s="39">
        <f>'Приложение №4'!G75+'Приложение №4'!G225</f>
        <v>509.1</v>
      </c>
    </row>
    <row r="20" spans="1:3" ht="30.75" customHeight="1">
      <c r="A20" s="46" t="s">
        <v>74</v>
      </c>
      <c r="B20" s="65" t="s">
        <v>73</v>
      </c>
      <c r="C20" s="55">
        <f>'Приложение №4'!G401+'Приложение №4'!G411</f>
        <v>12031.94625</v>
      </c>
    </row>
    <row r="21" spans="1:3" ht="15" customHeight="1">
      <c r="A21" s="64" t="s">
        <v>72</v>
      </c>
      <c r="B21" s="63" t="s">
        <v>71</v>
      </c>
      <c r="C21" s="41">
        <f>SUM(C22:C26)</f>
        <v>81829.7</v>
      </c>
    </row>
    <row r="22" spans="1:3" ht="15" customHeight="1">
      <c r="A22" s="61" t="s">
        <v>70</v>
      </c>
      <c r="B22" s="40" t="s">
        <v>69</v>
      </c>
      <c r="C22" s="39">
        <f>'Приложение №4'!G82</f>
        <v>250</v>
      </c>
    </row>
    <row r="23" spans="1:3" ht="15" customHeight="1">
      <c r="A23" s="61" t="s">
        <v>68</v>
      </c>
      <c r="B23" s="40" t="s">
        <v>67</v>
      </c>
      <c r="C23" s="39">
        <f>'Приложение №4'!G416</f>
        <v>335</v>
      </c>
    </row>
    <row r="24" spans="1:3" ht="15" customHeight="1">
      <c r="A24" s="61" t="s">
        <v>66</v>
      </c>
      <c r="B24" s="37" t="s">
        <v>65</v>
      </c>
      <c r="C24" s="39">
        <f>'Приложение №4'!G231</f>
        <v>28170.8</v>
      </c>
    </row>
    <row r="25" spans="1:3" ht="15.75">
      <c r="A25" s="61" t="s">
        <v>64</v>
      </c>
      <c r="B25" s="62" t="s">
        <v>63</v>
      </c>
      <c r="C25" s="59">
        <f>'Приложение №4'!G85+'Приложение №4'!G237</f>
        <v>41885.4</v>
      </c>
    </row>
    <row r="26" spans="1:3" ht="15.75">
      <c r="A26" s="61" t="s">
        <v>62</v>
      </c>
      <c r="B26" s="60" t="s">
        <v>61</v>
      </c>
      <c r="C26" s="59">
        <f>'Приложение №4'!G93+'Приложение №4'!G600</f>
        <v>11188.500000000002</v>
      </c>
    </row>
    <row r="27" spans="1:3" ht="15.75">
      <c r="A27" s="54" t="s">
        <v>60</v>
      </c>
      <c r="B27" s="53" t="s">
        <v>59</v>
      </c>
      <c r="C27" s="52">
        <f>SUM(C28:C31)</f>
        <v>320984</v>
      </c>
    </row>
    <row r="28" spans="1:3" ht="15.75">
      <c r="A28" s="56" t="s">
        <v>58</v>
      </c>
      <c r="B28" s="37" t="s">
        <v>57</v>
      </c>
      <c r="C28" s="55">
        <f>'Приложение №4'!G250+'Приложение №4'!G119</f>
        <v>52717.40000000001</v>
      </c>
    </row>
    <row r="29" spans="1:3" ht="15.75">
      <c r="A29" s="56" t="s">
        <v>56</v>
      </c>
      <c r="B29" s="58" t="s">
        <v>55</v>
      </c>
      <c r="C29" s="55">
        <f>'Приложение №4'!G265</f>
        <v>186580.4</v>
      </c>
    </row>
    <row r="30" spans="1:3" ht="15" customHeight="1">
      <c r="A30" s="56" t="s">
        <v>54</v>
      </c>
      <c r="B30" s="57" t="s">
        <v>53</v>
      </c>
      <c r="C30" s="55">
        <f>'Приложение №4'!G272+'Приложение №4'!G346</f>
        <v>60144.40000000001</v>
      </c>
    </row>
    <row r="31" spans="1:3" ht="15" customHeight="1">
      <c r="A31" s="56" t="s">
        <v>52</v>
      </c>
      <c r="B31" s="21" t="s">
        <v>51</v>
      </c>
      <c r="C31" s="55">
        <f>'Приложение №4'!G291</f>
        <v>21541.8</v>
      </c>
    </row>
    <row r="32" spans="1:3" ht="20.25" customHeight="1">
      <c r="A32" s="54" t="s">
        <v>50</v>
      </c>
      <c r="B32" s="53" t="s">
        <v>49</v>
      </c>
      <c r="C32" s="52">
        <f>C33</f>
        <v>150</v>
      </c>
    </row>
    <row r="33" spans="1:3" ht="14.25" customHeight="1">
      <c r="A33" s="51" t="s">
        <v>48</v>
      </c>
      <c r="B33" s="30" t="s">
        <v>47</v>
      </c>
      <c r="C33" s="50">
        <f>'Приложение №4'!G312</f>
        <v>150</v>
      </c>
    </row>
    <row r="34" spans="1:3" ht="15.75">
      <c r="A34" s="49" t="s">
        <v>46</v>
      </c>
      <c r="B34" s="48" t="s">
        <v>45</v>
      </c>
      <c r="C34" s="47">
        <f>SUM(C35:C38)</f>
        <v>661665.6</v>
      </c>
    </row>
    <row r="35" spans="1:3" ht="15.75">
      <c r="A35" s="46" t="s">
        <v>44</v>
      </c>
      <c r="B35" s="45" t="s">
        <v>43</v>
      </c>
      <c r="C35" s="31">
        <f>'Приложение №4'!G420</f>
        <v>212065.3</v>
      </c>
    </row>
    <row r="36" spans="1:3" ht="15.75">
      <c r="A36" s="46" t="s">
        <v>42</v>
      </c>
      <c r="B36" s="45" t="s">
        <v>41</v>
      </c>
      <c r="C36" s="31">
        <f>'Приложение №4'!G353+'Приложение №4'!G430+'Приложение №4'!G604</f>
        <v>382784.3999999999</v>
      </c>
    </row>
    <row r="37" spans="1:3" ht="15.75" customHeight="1">
      <c r="A37" s="46" t="s">
        <v>40</v>
      </c>
      <c r="B37" s="45" t="s">
        <v>39</v>
      </c>
      <c r="C37" s="31">
        <f>'Приложение №4'!G465</f>
        <v>3126</v>
      </c>
    </row>
    <row r="38" spans="1:3" ht="20.25" customHeight="1">
      <c r="A38" s="44" t="s">
        <v>38</v>
      </c>
      <c r="B38" s="43" t="s">
        <v>37</v>
      </c>
      <c r="C38" s="42">
        <f>'Приложение №4'!G129+'Приложение №4'!G473</f>
        <v>63689.90000000001</v>
      </c>
    </row>
    <row r="39" spans="1:3" ht="21.75" customHeight="1">
      <c r="A39" s="15" t="s">
        <v>36</v>
      </c>
      <c r="B39" s="33" t="s">
        <v>35</v>
      </c>
      <c r="C39" s="41">
        <f>SUM(C40:C41)</f>
        <v>69427.5</v>
      </c>
    </row>
    <row r="40" spans="1:3" ht="15" customHeight="1">
      <c r="A40" s="12" t="s">
        <v>34</v>
      </c>
      <c r="B40" s="40" t="s">
        <v>33</v>
      </c>
      <c r="C40" s="39">
        <f>+'Приложение №4'!G613+'Приложение №4'!G142</f>
        <v>59945.100000000006</v>
      </c>
    </row>
    <row r="41" spans="1:3" ht="24" customHeight="1">
      <c r="A41" s="38" t="s">
        <v>32</v>
      </c>
      <c r="B41" s="37" t="s">
        <v>31</v>
      </c>
      <c r="C41" s="29">
        <f>'Приложение №4'!G645</f>
        <v>9482.4</v>
      </c>
    </row>
    <row r="42" spans="1:3" ht="13.5" customHeight="1">
      <c r="A42" s="36" t="s">
        <v>30</v>
      </c>
      <c r="B42" s="33" t="s">
        <v>29</v>
      </c>
      <c r="C42" s="35">
        <f>SUM(C43:C43)</f>
        <v>495.8</v>
      </c>
    </row>
    <row r="43" spans="1:3" ht="16.5" customHeight="1">
      <c r="A43" s="34" t="s">
        <v>28</v>
      </c>
      <c r="B43" s="21" t="s">
        <v>27</v>
      </c>
      <c r="C43" s="29">
        <f>'Приложение №4'!G560</f>
        <v>495.8</v>
      </c>
    </row>
    <row r="44" spans="1:3" ht="15" customHeight="1">
      <c r="A44" s="15" t="s">
        <v>26</v>
      </c>
      <c r="B44" s="33" t="s">
        <v>25</v>
      </c>
      <c r="C44" s="32">
        <f>SUM(C45:C48)</f>
        <v>54511.3</v>
      </c>
    </row>
    <row r="45" spans="1:3" ht="15.75">
      <c r="A45" s="12" t="s">
        <v>24</v>
      </c>
      <c r="B45" s="23" t="s">
        <v>23</v>
      </c>
      <c r="C45" s="31">
        <f>'Приложение №4'!G146</f>
        <v>1432</v>
      </c>
    </row>
    <row r="46" spans="1:3" ht="13.5" customHeight="1">
      <c r="A46" s="22" t="s">
        <v>22</v>
      </c>
      <c r="B46" s="30" t="s">
        <v>21</v>
      </c>
      <c r="C46" s="29">
        <f>'Приложение №4'!G316+'Приложение №4'!G567+'Приложение №4'!G201+'Приложение №4'!G150</f>
        <v>7054.7</v>
      </c>
    </row>
    <row r="47" spans="1:3" ht="15" customHeight="1">
      <c r="A47" s="28" t="s">
        <v>20</v>
      </c>
      <c r="B47" s="27" t="s">
        <v>19</v>
      </c>
      <c r="C47" s="26">
        <f>'Приложение №4'!G571+'Приложение №4'!G204</f>
        <v>40237.6</v>
      </c>
    </row>
    <row r="48" spans="1:3" ht="15.75" customHeight="1">
      <c r="A48" s="22" t="s">
        <v>18</v>
      </c>
      <c r="B48" s="25" t="s">
        <v>17</v>
      </c>
      <c r="C48" s="20">
        <f>'Приложение №4'!G328</f>
        <v>5787</v>
      </c>
    </row>
    <row r="49" spans="1:3" ht="15.75" customHeight="1">
      <c r="A49" s="15" t="s">
        <v>16</v>
      </c>
      <c r="B49" s="24" t="s">
        <v>15</v>
      </c>
      <c r="C49" s="13">
        <f>SUM(C50:C52)</f>
        <v>44059.5</v>
      </c>
    </row>
    <row r="50" spans="1:3" ht="15.75" customHeight="1">
      <c r="A50" s="12" t="s">
        <v>14</v>
      </c>
      <c r="B50" s="23" t="s">
        <v>13</v>
      </c>
      <c r="C50" s="10">
        <f>'Приложение №4'!G156+'Приложение №4'!G362+'Приложение №4'!G583+'Приложение №4'!G662</f>
        <v>32788.6</v>
      </c>
    </row>
    <row r="51" spans="1:3" ht="15.75" customHeight="1">
      <c r="A51" s="12" t="s">
        <v>12</v>
      </c>
      <c r="B51" s="23" t="s">
        <v>11</v>
      </c>
      <c r="C51" s="10">
        <f>'Приложение №4'!G377</f>
        <v>6896.8</v>
      </c>
    </row>
    <row r="52" spans="1:3" ht="15.75" customHeight="1">
      <c r="A52" s="22" t="s">
        <v>10</v>
      </c>
      <c r="B52" s="21" t="s">
        <v>9</v>
      </c>
      <c r="C52" s="20">
        <f>'Приложение №4'!G383</f>
        <v>4374.1</v>
      </c>
    </row>
    <row r="53" spans="1:3" ht="15.75" customHeight="1">
      <c r="A53" s="19" t="s">
        <v>8</v>
      </c>
      <c r="B53" s="18" t="s">
        <v>7</v>
      </c>
      <c r="C53" s="17">
        <f>C54</f>
        <v>552</v>
      </c>
    </row>
    <row r="54" spans="1:3" ht="15.75" customHeight="1">
      <c r="A54" s="12" t="s">
        <v>6</v>
      </c>
      <c r="B54" s="16" t="s">
        <v>5</v>
      </c>
      <c r="C54" s="10">
        <f>'Приложение №4'!G162</f>
        <v>552</v>
      </c>
    </row>
    <row r="55" spans="1:3" ht="39.75" customHeight="1">
      <c r="A55" s="15" t="s">
        <v>4</v>
      </c>
      <c r="B55" s="14" t="s">
        <v>3</v>
      </c>
      <c r="C55" s="13">
        <f>C56</f>
        <v>7721.7</v>
      </c>
    </row>
    <row r="56" spans="1:3" ht="15.75" customHeight="1">
      <c r="A56" s="12" t="s">
        <v>2</v>
      </c>
      <c r="B56" s="11" t="s">
        <v>1</v>
      </c>
      <c r="C56" s="10">
        <f>'Приложение №4'!G180</f>
        <v>7721.7</v>
      </c>
    </row>
    <row r="57" spans="1:3" ht="20.25" customHeight="1">
      <c r="A57" s="9" t="s">
        <v>0</v>
      </c>
      <c r="B57" s="8"/>
      <c r="C57" s="7">
        <f>C10+C18+C21+C27+C32+C34+C39+C42+C44+C49+C53+C55</f>
        <v>1383244.8462500002</v>
      </c>
    </row>
    <row r="58" spans="1:3" ht="18.75" customHeight="1">
      <c r="A58" s="6"/>
      <c r="B58" s="5"/>
      <c r="C58" s="4"/>
    </row>
    <row r="59" ht="12.75">
      <c r="C59" s="3"/>
    </row>
    <row r="62" ht="12.75">
      <c r="C62" s="2"/>
    </row>
  </sheetData>
  <sheetProtection/>
  <mergeCells count="2">
    <mergeCell ref="A5:C5"/>
    <mergeCell ref="A57:B57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77.28125" style="1" customWidth="1"/>
    <col min="3" max="3" width="19.28125" style="1" customWidth="1"/>
    <col min="4" max="4" width="17.28125" style="1" customWidth="1"/>
    <col min="5" max="16384" width="9.140625" style="1" customWidth="1"/>
  </cols>
  <sheetData>
    <row r="1" spans="2:4" ht="16.5">
      <c r="B1" s="85"/>
      <c r="C1" s="165" t="s">
        <v>538</v>
      </c>
      <c r="D1" s="165"/>
    </row>
    <row r="2" spans="3:4" ht="33.75" customHeight="1">
      <c r="C2" s="164" t="s">
        <v>537</v>
      </c>
      <c r="D2" s="164"/>
    </row>
    <row r="3" spans="3:4" ht="21" customHeight="1">
      <c r="C3" s="164" t="s">
        <v>536</v>
      </c>
      <c r="D3" s="164"/>
    </row>
    <row r="4" spans="3:4" ht="19.5" customHeight="1">
      <c r="C4" s="82"/>
      <c r="D4" s="82"/>
    </row>
    <row r="5" spans="1:12" ht="27.75" customHeight="1">
      <c r="A5" s="163" t="s">
        <v>535</v>
      </c>
      <c r="B5" s="163"/>
      <c r="C5" s="163"/>
      <c r="D5" s="163"/>
      <c r="E5" s="80"/>
      <c r="F5" s="80"/>
      <c r="G5" s="80"/>
      <c r="H5" s="80"/>
      <c r="I5" s="80"/>
      <c r="J5" s="80"/>
      <c r="K5" s="80"/>
      <c r="L5" s="80"/>
    </row>
    <row r="6" spans="1:2" ht="0.75" customHeight="1" hidden="1">
      <c r="A6" s="79"/>
      <c r="B6" s="79"/>
    </row>
    <row r="7" spans="1:4" ht="22.5" customHeight="1">
      <c r="A7" s="78"/>
      <c r="B7" s="78"/>
      <c r="C7" s="77"/>
      <c r="D7" s="77" t="s">
        <v>98</v>
      </c>
    </row>
    <row r="8" spans="1:4" ht="60" customHeight="1">
      <c r="A8" s="76" t="s">
        <v>97</v>
      </c>
      <c r="B8" s="76" t="s">
        <v>96</v>
      </c>
      <c r="C8" s="75" t="s">
        <v>534</v>
      </c>
      <c r="D8" s="75" t="s">
        <v>533</v>
      </c>
    </row>
    <row r="9" spans="1:4" ht="15">
      <c r="A9" s="74">
        <v>1</v>
      </c>
      <c r="B9" s="73">
        <v>2</v>
      </c>
      <c r="C9" s="72">
        <v>3</v>
      </c>
      <c r="D9" s="72">
        <v>4</v>
      </c>
    </row>
    <row r="10" spans="1:4" ht="18" customHeight="1">
      <c r="A10" s="54" t="s">
        <v>94</v>
      </c>
      <c r="B10" s="33" t="s">
        <v>93</v>
      </c>
      <c r="C10" s="41">
        <f>SUM(C11:C16)</f>
        <v>120901.805</v>
      </c>
      <c r="D10" s="41">
        <f>SUM(D11:D16)</f>
        <v>125955.77025</v>
      </c>
    </row>
    <row r="11" spans="1:4" ht="32.25" customHeight="1">
      <c r="A11" s="46" t="s">
        <v>92</v>
      </c>
      <c r="B11" s="71" t="s">
        <v>91</v>
      </c>
      <c r="C11" s="39">
        <f>'Приложение №4.1'!G27</f>
        <v>1228.76</v>
      </c>
      <c r="D11" s="39">
        <f>'Приложение №4.1'!H27</f>
        <v>1290.198</v>
      </c>
    </row>
    <row r="12" spans="1:4" ht="50.25" customHeight="1">
      <c r="A12" s="46" t="s">
        <v>90</v>
      </c>
      <c r="B12" s="70" t="s">
        <v>89</v>
      </c>
      <c r="C12" s="39">
        <f>'Приложение №4.1'!G14</f>
        <v>5690.24</v>
      </c>
      <c r="D12" s="39">
        <f>'Приложение №4.1'!H14</f>
        <v>5969.0019999999995</v>
      </c>
    </row>
    <row r="13" spans="1:4" ht="47.25" customHeight="1">
      <c r="A13" s="46" t="s">
        <v>88</v>
      </c>
      <c r="B13" s="70" t="s">
        <v>87</v>
      </c>
      <c r="C13" s="39">
        <f>'Приложение №4.1'!G31</f>
        <v>50323.155</v>
      </c>
      <c r="D13" s="39">
        <f>'Приложение №4.1'!H31</f>
        <v>51832.01275</v>
      </c>
    </row>
    <row r="14" spans="1:4" ht="30.75" customHeight="1">
      <c r="A14" s="46" t="s">
        <v>86</v>
      </c>
      <c r="B14" s="60" t="s">
        <v>85</v>
      </c>
      <c r="C14" s="39">
        <f>'Приложение №4.1'!G117+'Приложение №4.1'!G153</f>
        <v>17199.215</v>
      </c>
      <c r="D14" s="39">
        <f>'Приложение №4.1'!H117+'Приложение №4.1'!H153</f>
        <v>18055.00075</v>
      </c>
    </row>
    <row r="15" spans="1:4" ht="15.75" customHeight="1">
      <c r="A15" s="56" t="s">
        <v>82</v>
      </c>
      <c r="B15" s="37" t="s">
        <v>81</v>
      </c>
      <c r="C15" s="39">
        <f>'Приложение №4.1'!G40</f>
        <v>3500</v>
      </c>
      <c r="D15" s="39">
        <f>'Приложение №4.1'!H40</f>
        <v>3500</v>
      </c>
    </row>
    <row r="16" spans="1:4" ht="15.75">
      <c r="A16" s="56" t="s">
        <v>80</v>
      </c>
      <c r="B16" s="21" t="s">
        <v>79</v>
      </c>
      <c r="C16" s="39">
        <f>'Приложение №4.1'!G44+'Приложение №4.1'!G132+'Приложение №4.1'!G247</f>
        <v>42960.435</v>
      </c>
      <c r="D16" s="39">
        <f>'Приложение №4.1'!H44+'Приложение №4.1'!H132+'Приложение №4.1'!H247</f>
        <v>45309.55675</v>
      </c>
    </row>
    <row r="17" spans="1:4" ht="30.75" customHeight="1">
      <c r="A17" s="68" t="s">
        <v>78</v>
      </c>
      <c r="B17" s="67" t="s">
        <v>77</v>
      </c>
      <c r="C17" s="41">
        <f>C19+C18</f>
        <v>12841.695</v>
      </c>
      <c r="D17" s="41">
        <f>D19+D18</f>
        <v>13422.70475</v>
      </c>
    </row>
    <row r="18" spans="1:4" ht="16.5" customHeight="1">
      <c r="A18" s="46" t="s">
        <v>76</v>
      </c>
      <c r="B18" s="66" t="s">
        <v>75</v>
      </c>
      <c r="C18" s="39">
        <f>'Приложение №4.1'!G58+'Приложение №4.1'!G166</f>
        <v>100</v>
      </c>
      <c r="D18" s="39">
        <f>'Приложение №4.1'!H58+'Приложение №4.1'!H166</f>
        <v>50</v>
      </c>
    </row>
    <row r="19" spans="1:4" ht="30.75" customHeight="1">
      <c r="A19" s="46" t="s">
        <v>74</v>
      </c>
      <c r="B19" s="65" t="s">
        <v>73</v>
      </c>
      <c r="C19" s="55">
        <f>'Приложение №4.1'!G297</f>
        <v>12741.695</v>
      </c>
      <c r="D19" s="55">
        <f>'Приложение №4.1'!H297</f>
        <v>13372.70475</v>
      </c>
    </row>
    <row r="20" spans="1:4" ht="15" customHeight="1">
      <c r="A20" s="64" t="s">
        <v>72</v>
      </c>
      <c r="B20" s="63" t="s">
        <v>71</v>
      </c>
      <c r="C20" s="41">
        <f>SUM(C21:C24)</f>
        <v>42730.5</v>
      </c>
      <c r="D20" s="41">
        <f>SUM(D21:D24)</f>
        <v>41269.479999999996</v>
      </c>
    </row>
    <row r="21" spans="1:4" ht="15" customHeight="1">
      <c r="A21" s="61" t="s">
        <v>68</v>
      </c>
      <c r="B21" s="40" t="s">
        <v>67</v>
      </c>
      <c r="C21" s="39">
        <f>'Приложение №4.1'!G311</f>
        <v>351</v>
      </c>
      <c r="D21" s="39">
        <f>'Приложение №4.1'!H311</f>
        <v>368</v>
      </c>
    </row>
    <row r="22" spans="1:4" ht="15" customHeight="1">
      <c r="A22" s="61" t="s">
        <v>66</v>
      </c>
      <c r="B22" s="37" t="s">
        <v>65</v>
      </c>
      <c r="C22" s="39">
        <f>'Приложение №4.1'!G171</f>
        <v>15887.4</v>
      </c>
      <c r="D22" s="39">
        <f>'Приложение №4.1'!H171</f>
        <v>16681.7</v>
      </c>
    </row>
    <row r="23" spans="1:4" ht="15.75">
      <c r="A23" s="61" t="s">
        <v>64</v>
      </c>
      <c r="B23" s="62" t="s">
        <v>63</v>
      </c>
      <c r="C23" s="59">
        <f>'Приложение №4.1'!G63+'Приложение №4.1'!G174</f>
        <v>12850.5</v>
      </c>
      <c r="D23" s="59">
        <f>'Приложение №4.1'!H63+'Приложение №4.1'!H174</f>
        <v>9977.9</v>
      </c>
    </row>
    <row r="24" spans="1:4" ht="15.75">
      <c r="A24" s="61" t="s">
        <v>62</v>
      </c>
      <c r="B24" s="60" t="s">
        <v>61</v>
      </c>
      <c r="C24" s="59">
        <f>'Приложение №4.1'!G67+'Приложение №4.1'!G182</f>
        <v>13641.6</v>
      </c>
      <c r="D24" s="59">
        <f>'Приложение №4.1'!H67+'Приложение №4.1'!H182</f>
        <v>14241.880000000001</v>
      </c>
    </row>
    <row r="25" spans="1:4" ht="15.75">
      <c r="A25" s="54" t="s">
        <v>60</v>
      </c>
      <c r="B25" s="53" t="s">
        <v>59</v>
      </c>
      <c r="C25" s="52">
        <f>SUM(C26:C29)</f>
        <v>69943.1295</v>
      </c>
      <c r="D25" s="52">
        <f>SUM(D26:D29)</f>
        <v>71539.83097499999</v>
      </c>
    </row>
    <row r="26" spans="1:4" ht="15.75">
      <c r="A26" s="56" t="s">
        <v>58</v>
      </c>
      <c r="B26" s="37" t="s">
        <v>57</v>
      </c>
      <c r="C26" s="55">
        <f>'Приложение №4.1'!G187</f>
        <v>261</v>
      </c>
      <c r="D26" s="55">
        <f>'Приложение №4.1'!H187</f>
        <v>261</v>
      </c>
    </row>
    <row r="27" spans="1:4" ht="15.75">
      <c r="A27" s="56" t="s">
        <v>56</v>
      </c>
      <c r="B27" s="58" t="s">
        <v>55</v>
      </c>
      <c r="C27" s="55">
        <f>'Приложение №4.1'!G197</f>
        <v>2769.4</v>
      </c>
      <c r="D27" s="55">
        <f>'Приложение №4.1'!H197</f>
        <v>2907.8</v>
      </c>
    </row>
    <row r="28" spans="1:4" ht="15" customHeight="1">
      <c r="A28" s="56" t="s">
        <v>54</v>
      </c>
      <c r="B28" s="57" t="s">
        <v>53</v>
      </c>
      <c r="C28" s="55">
        <f>'Приложение №4.1'!G200+'Приложение №4.1'!G257</f>
        <v>46460.6</v>
      </c>
      <c r="D28" s="55">
        <f>'Приложение №4.1'!H200+'Приложение №4.1'!H257</f>
        <v>48308.899999999994</v>
      </c>
    </row>
    <row r="29" spans="1:4" ht="15" customHeight="1">
      <c r="A29" s="56" t="s">
        <v>52</v>
      </c>
      <c r="B29" s="21" t="s">
        <v>51</v>
      </c>
      <c r="C29" s="55">
        <f>'Приложение №4.1'!G216</f>
        <v>20452.1295</v>
      </c>
      <c r="D29" s="55">
        <f>'Приложение №4.1'!H216</f>
        <v>20062.130975</v>
      </c>
    </row>
    <row r="30" spans="1:4" ht="20.25" customHeight="1">
      <c r="A30" s="54" t="s">
        <v>50</v>
      </c>
      <c r="B30" s="53" t="s">
        <v>49</v>
      </c>
      <c r="C30" s="52">
        <f>C31</f>
        <v>157.5</v>
      </c>
      <c r="D30" s="52">
        <f>D31</f>
        <v>165.4</v>
      </c>
    </row>
    <row r="31" spans="1:4" ht="14.25" customHeight="1">
      <c r="A31" s="51" t="s">
        <v>48</v>
      </c>
      <c r="B31" s="30" t="s">
        <v>47</v>
      </c>
      <c r="C31" s="50">
        <f>'Приложение №4.1'!G232</f>
        <v>157.5</v>
      </c>
      <c r="D31" s="50">
        <f>'Приложение №4.1'!H232</f>
        <v>165.4</v>
      </c>
    </row>
    <row r="32" spans="1:4" ht="15.75">
      <c r="A32" s="49" t="s">
        <v>46</v>
      </c>
      <c r="B32" s="48" t="s">
        <v>45</v>
      </c>
      <c r="C32" s="47">
        <f>SUM(C33:C36)</f>
        <v>639797.6</v>
      </c>
      <c r="D32" s="47">
        <f>SUM(D33:D36)</f>
        <v>650143</v>
      </c>
    </row>
    <row r="33" spans="1:4" ht="15.75">
      <c r="A33" s="46" t="s">
        <v>44</v>
      </c>
      <c r="B33" s="45" t="s">
        <v>43</v>
      </c>
      <c r="C33" s="31">
        <f>'Приложение №4.1'!G315</f>
        <v>217724.5</v>
      </c>
      <c r="D33" s="31">
        <f>'Приложение №4.1'!H315</f>
        <v>219061.5</v>
      </c>
    </row>
    <row r="34" spans="1:4" ht="15.75">
      <c r="A34" s="46" t="s">
        <v>42</v>
      </c>
      <c r="B34" s="45" t="s">
        <v>41</v>
      </c>
      <c r="C34" s="31">
        <f>'Приложение №4.1'!G264+'Приложение №4.1'!G322+'Приложение №4.1'!G407</f>
        <v>377435.7</v>
      </c>
      <c r="D34" s="31">
        <f>'Приложение №4.1'!H264+'Приложение №4.1'!H322+'Приложение №4.1'!H407</f>
        <v>384066.7</v>
      </c>
    </row>
    <row r="35" spans="1:4" ht="15.75" customHeight="1">
      <c r="A35" s="46" t="s">
        <v>40</v>
      </c>
      <c r="B35" s="45" t="s">
        <v>39</v>
      </c>
      <c r="C35" s="31">
        <f>'Приложение №4.1'!G341</f>
        <v>3125</v>
      </c>
      <c r="D35" s="31">
        <f>'Приложение №4.1'!H341</f>
        <v>3233</v>
      </c>
    </row>
    <row r="36" spans="1:4" ht="20.25" customHeight="1">
      <c r="A36" s="44" t="s">
        <v>38</v>
      </c>
      <c r="B36" s="43" t="s">
        <v>37</v>
      </c>
      <c r="C36" s="42">
        <f>'Приложение №4.1'!G88+'Приложение №4.1'!G347</f>
        <v>41512.4</v>
      </c>
      <c r="D36" s="42">
        <f>'Приложение №4.1'!H88+'Приложение №4.1'!H347</f>
        <v>43781.799999999996</v>
      </c>
    </row>
    <row r="37" spans="1:4" ht="21.75" customHeight="1">
      <c r="A37" s="15" t="s">
        <v>36</v>
      </c>
      <c r="B37" s="33" t="s">
        <v>35</v>
      </c>
      <c r="C37" s="41">
        <f>SUM(C38:C39)</f>
        <v>60134.100000000006</v>
      </c>
      <c r="D37" s="41">
        <f>SUM(D38:D39)</f>
        <v>61982.7</v>
      </c>
    </row>
    <row r="38" spans="1:4" ht="15" customHeight="1">
      <c r="A38" s="12" t="s">
        <v>34</v>
      </c>
      <c r="B38" s="40" t="s">
        <v>33</v>
      </c>
      <c r="C38" s="39">
        <f>'Приложение №4.1'!G412</f>
        <v>50363.100000000006</v>
      </c>
      <c r="D38" s="39">
        <f>'Приложение №4.1'!H412</f>
        <v>51735.7</v>
      </c>
    </row>
    <row r="39" spans="1:4" ht="24" customHeight="1">
      <c r="A39" s="38" t="s">
        <v>32</v>
      </c>
      <c r="B39" s="37" t="s">
        <v>31</v>
      </c>
      <c r="C39" s="29">
        <f>'Приложение №4.1'!G428</f>
        <v>9771</v>
      </c>
      <c r="D39" s="29">
        <f>'Приложение №4.1'!H428</f>
        <v>10247</v>
      </c>
    </row>
    <row r="40" spans="1:4" ht="13.5" customHeight="1">
      <c r="A40" s="36" t="s">
        <v>30</v>
      </c>
      <c r="B40" s="33" t="s">
        <v>29</v>
      </c>
      <c r="C40" s="35">
        <f>SUM(C41:C41)</f>
        <v>514.3</v>
      </c>
      <c r="D40" s="35">
        <f>SUM(D41:D41)</f>
        <v>514.3</v>
      </c>
    </row>
    <row r="41" spans="1:4" ht="16.5" customHeight="1">
      <c r="A41" s="162" t="s">
        <v>28</v>
      </c>
      <c r="B41" s="37" t="s">
        <v>27</v>
      </c>
      <c r="C41" s="39">
        <f>'Приложение №4.1'!G377</f>
        <v>514.3</v>
      </c>
      <c r="D41" s="39">
        <f>'Приложение №4.1'!H377</f>
        <v>514.3</v>
      </c>
    </row>
    <row r="42" spans="1:4" ht="15" customHeight="1">
      <c r="A42" s="15" t="s">
        <v>26</v>
      </c>
      <c r="B42" s="24" t="s">
        <v>25</v>
      </c>
      <c r="C42" s="32">
        <f>SUM(C43:C46)</f>
        <v>60157.8</v>
      </c>
      <c r="D42" s="32">
        <f>SUM(D43:D46)</f>
        <v>62832.40000000001</v>
      </c>
    </row>
    <row r="43" spans="1:4" ht="15.75">
      <c r="A43" s="12" t="s">
        <v>24</v>
      </c>
      <c r="B43" s="40" t="s">
        <v>23</v>
      </c>
      <c r="C43" s="31">
        <f>'Приложение №4.1'!G95</f>
        <v>1492</v>
      </c>
      <c r="D43" s="31">
        <f>'Приложение №4.1'!H95</f>
        <v>1554</v>
      </c>
    </row>
    <row r="44" spans="1:4" ht="13.5" customHeight="1">
      <c r="A44" s="12" t="s">
        <v>22</v>
      </c>
      <c r="B44" s="23" t="s">
        <v>21</v>
      </c>
      <c r="C44" s="31">
        <f>'Приложение №4.1'!G236+'Приложение №4.1'!G384+'Приложение №4.1'!G145+'Приложение №4.1'!G99</f>
        <v>3040</v>
      </c>
      <c r="D44" s="31">
        <f>'Приложение №4.1'!H236+'Приложение №4.1'!H384+'Приложение №4.1'!H145+'Приложение №4.1'!H99</f>
        <v>2640</v>
      </c>
    </row>
    <row r="45" spans="1:4" ht="15" customHeight="1">
      <c r="A45" s="12" t="s">
        <v>20</v>
      </c>
      <c r="B45" s="16" t="s">
        <v>19</v>
      </c>
      <c r="C45" s="31">
        <f>'Приложение №4.1'!G388+'Приложение №4.1'!G148</f>
        <v>49674.8</v>
      </c>
      <c r="D45" s="31">
        <f>'Приложение №4.1'!H388+'Приложение №4.1'!H148</f>
        <v>52389.90000000001</v>
      </c>
    </row>
    <row r="46" spans="1:4" ht="15.75" customHeight="1">
      <c r="A46" s="12" t="s">
        <v>18</v>
      </c>
      <c r="B46" s="23" t="s">
        <v>17</v>
      </c>
      <c r="C46" s="10">
        <f>'Приложение №4.1'!G242</f>
        <v>5951</v>
      </c>
      <c r="D46" s="10">
        <f>'Приложение №4.1'!H242</f>
        <v>6248.5</v>
      </c>
    </row>
    <row r="47" spans="1:4" ht="15.75" customHeight="1">
      <c r="A47" s="15" t="s">
        <v>16</v>
      </c>
      <c r="B47" s="24" t="s">
        <v>15</v>
      </c>
      <c r="C47" s="13">
        <f>SUM(C48:C50)</f>
        <v>22021</v>
      </c>
      <c r="D47" s="13">
        <f>SUM(D48:D50)</f>
        <v>12488.8</v>
      </c>
    </row>
    <row r="48" spans="1:4" ht="15.75" customHeight="1">
      <c r="A48" s="12" t="s">
        <v>14</v>
      </c>
      <c r="B48" s="23" t="s">
        <v>13</v>
      </c>
      <c r="C48" s="10">
        <f>'Приложение №4.1'!G102+'Приложение №4.1'!G269+'Приложение №4.1'!G400</f>
        <v>10200</v>
      </c>
      <c r="D48" s="10">
        <f>'Приложение №4.1'!H102+'Приложение №4.1'!H269+'Приложение №4.1'!H400</f>
        <v>0</v>
      </c>
    </row>
    <row r="49" spans="1:4" ht="15.75" customHeight="1">
      <c r="A49" s="12" t="s">
        <v>12</v>
      </c>
      <c r="B49" s="23" t="s">
        <v>11</v>
      </c>
      <c r="C49" s="10">
        <f>'Приложение №4.1'!G275</f>
        <v>7133</v>
      </c>
      <c r="D49" s="10">
        <f>'Приложение №4.1'!H275</f>
        <v>7561</v>
      </c>
    </row>
    <row r="50" spans="1:4" ht="15.75" customHeight="1">
      <c r="A50" s="22" t="s">
        <v>10</v>
      </c>
      <c r="B50" s="21" t="s">
        <v>9</v>
      </c>
      <c r="C50" s="20">
        <f>'Приложение №4.1'!G279</f>
        <v>4688</v>
      </c>
      <c r="D50" s="50">
        <f>'Приложение №4.1'!H279</f>
        <v>4927.799999999999</v>
      </c>
    </row>
    <row r="51" spans="1:4" ht="15.75" customHeight="1">
      <c r="A51" s="19" t="s">
        <v>8</v>
      </c>
      <c r="B51" s="18" t="s">
        <v>7</v>
      </c>
      <c r="C51" s="17">
        <f>C52</f>
        <v>580</v>
      </c>
      <c r="D51" s="17">
        <f>D52</f>
        <v>609</v>
      </c>
    </row>
    <row r="52" spans="1:4" ht="15.75" customHeight="1">
      <c r="A52" s="22" t="s">
        <v>6</v>
      </c>
      <c r="B52" s="161" t="s">
        <v>5</v>
      </c>
      <c r="C52" s="20">
        <f>'Приложение №4.1'!G108</f>
        <v>580</v>
      </c>
      <c r="D52" s="20">
        <f>'Приложение №4.1'!H108</f>
        <v>609</v>
      </c>
    </row>
    <row r="53" spans="1:4" ht="39.75" customHeight="1">
      <c r="A53" s="15" t="s">
        <v>4</v>
      </c>
      <c r="B53" s="14" t="s">
        <v>3</v>
      </c>
      <c r="C53" s="13">
        <f>C54</f>
        <v>18308</v>
      </c>
      <c r="D53" s="13">
        <f>D54</f>
        <v>22826.399999999998</v>
      </c>
    </row>
    <row r="54" spans="1:4" ht="15.75" customHeight="1">
      <c r="A54" s="12" t="s">
        <v>2</v>
      </c>
      <c r="B54" s="11" t="s">
        <v>1</v>
      </c>
      <c r="C54" s="10">
        <f>'Приложение №4.1'!G126</f>
        <v>18308</v>
      </c>
      <c r="D54" s="10">
        <f>'Приложение №4.1'!H126</f>
        <v>22826.399999999998</v>
      </c>
    </row>
    <row r="55" spans="1:6" ht="15.75" customHeight="1">
      <c r="A55" s="160" t="s">
        <v>532</v>
      </c>
      <c r="B55" s="159" t="s">
        <v>531</v>
      </c>
      <c r="C55" s="158">
        <f>'Приложение №4.1'!G113</f>
        <v>26874</v>
      </c>
      <c r="D55" s="158">
        <f>'Приложение №4.1'!H113</f>
        <v>55986.8</v>
      </c>
      <c r="E55" s="157"/>
      <c r="F55" s="156"/>
    </row>
    <row r="56" spans="1:4" ht="20.25" customHeight="1">
      <c r="A56" s="9" t="s">
        <v>0</v>
      </c>
      <c r="B56" s="8"/>
      <c r="C56" s="7">
        <f>C10+C17+C20+C25+C30+C32+C37+C40+C42+C47+C51+C53+C55</f>
        <v>1074961.4295</v>
      </c>
      <c r="D56" s="7">
        <f>D10+D17+D20+D25+D30+D32+D37+D40+D42+D47+D51+D53+D55</f>
        <v>1119736.5859750002</v>
      </c>
    </row>
    <row r="57" spans="1:4" ht="18.75" customHeight="1">
      <c r="A57" s="6"/>
      <c r="B57" s="5"/>
      <c r="C57" s="4"/>
      <c r="D57" s="82"/>
    </row>
    <row r="58" spans="3:4" ht="12.75">
      <c r="C58" s="3"/>
      <c r="D58" s="3"/>
    </row>
    <row r="61" ht="12.75">
      <c r="C61" s="2"/>
    </row>
  </sheetData>
  <sheetProtection/>
  <mergeCells count="5">
    <mergeCell ref="A56:B56"/>
    <mergeCell ref="A5:D5"/>
    <mergeCell ref="C1:D1"/>
    <mergeCell ref="C2:D2"/>
    <mergeCell ref="C3:D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308" customWidth="1"/>
    <col min="2" max="2" width="57.28125" style="308" customWidth="1"/>
    <col min="3" max="3" width="15.421875" style="308" customWidth="1"/>
    <col min="4" max="4" width="12.57421875" style="308" customWidth="1"/>
    <col min="5" max="16384" width="9.140625" style="308" customWidth="1"/>
  </cols>
  <sheetData>
    <row r="1" spans="1:3" ht="18" customHeight="1">
      <c r="A1" s="331"/>
      <c r="B1" s="330" t="s">
        <v>780</v>
      </c>
      <c r="C1" s="330"/>
    </row>
    <row r="2" spans="1:3" ht="18.75" customHeight="1">
      <c r="A2" s="1"/>
      <c r="B2" s="329" t="s">
        <v>779</v>
      </c>
      <c r="C2" s="329"/>
    </row>
    <row r="3" spans="1:3" ht="15" customHeight="1">
      <c r="A3" s="1"/>
      <c r="B3" s="329" t="s">
        <v>729</v>
      </c>
      <c r="C3" s="329"/>
    </row>
    <row r="4" spans="2:3" ht="15" customHeight="1">
      <c r="B4" s="329" t="s">
        <v>536</v>
      </c>
      <c r="C4" s="329"/>
    </row>
    <row r="5" spans="2:3" ht="15" customHeight="1">
      <c r="B5" s="326"/>
      <c r="C5" s="326"/>
    </row>
    <row r="6" spans="1:3" ht="15.75" customHeight="1">
      <c r="A6" s="328" t="s">
        <v>778</v>
      </c>
      <c r="B6" s="328"/>
      <c r="C6" s="328"/>
    </row>
    <row r="7" spans="1:3" ht="15.75">
      <c r="A7" s="328" t="s">
        <v>777</v>
      </c>
      <c r="B7" s="328"/>
      <c r="C7" s="328"/>
    </row>
    <row r="8" spans="2:3" ht="15">
      <c r="B8" s="327"/>
      <c r="C8" s="326" t="s">
        <v>776</v>
      </c>
    </row>
    <row r="9" spans="1:3" ht="48" customHeight="1">
      <c r="A9" s="325"/>
      <c r="B9" s="324" t="s">
        <v>526</v>
      </c>
      <c r="C9" s="323" t="s">
        <v>725</v>
      </c>
    </row>
    <row r="10" spans="1:3" ht="29.25" customHeight="1">
      <c r="A10" s="318" t="s">
        <v>775</v>
      </c>
      <c r="B10" s="317" t="s">
        <v>774</v>
      </c>
      <c r="C10" s="320">
        <f>C11+C13</f>
        <v>70263.20000000001</v>
      </c>
    </row>
    <row r="11" spans="1:3" ht="18.75" customHeight="1">
      <c r="A11" s="315" t="s">
        <v>773</v>
      </c>
      <c r="B11" s="316" t="s">
        <v>772</v>
      </c>
      <c r="C11" s="313">
        <f>C12</f>
        <v>185263.2</v>
      </c>
    </row>
    <row r="12" spans="1:3" ht="31.5" customHeight="1">
      <c r="A12" s="315" t="s">
        <v>771</v>
      </c>
      <c r="B12" s="322" t="s">
        <v>770</v>
      </c>
      <c r="C12" s="313">
        <v>185263.2</v>
      </c>
    </row>
    <row r="13" spans="1:3" ht="34.5" customHeight="1">
      <c r="A13" s="315" t="s">
        <v>769</v>
      </c>
      <c r="B13" s="316" t="s">
        <v>768</v>
      </c>
      <c r="C13" s="313">
        <f>C14</f>
        <v>-115000</v>
      </c>
    </row>
    <row r="14" spans="1:3" ht="48.75" customHeight="1">
      <c r="A14" s="315" t="s">
        <v>767</v>
      </c>
      <c r="B14" s="322" t="s">
        <v>766</v>
      </c>
      <c r="C14" s="313">
        <v>-115000</v>
      </c>
    </row>
    <row r="15" spans="1:3" ht="33.75" customHeight="1">
      <c r="A15" s="318" t="s">
        <v>765</v>
      </c>
      <c r="B15" s="317" t="s">
        <v>764</v>
      </c>
      <c r="C15" s="310">
        <f>C16+C18</f>
        <v>-10000</v>
      </c>
    </row>
    <row r="16" spans="1:3" ht="47.25" customHeight="1">
      <c r="A16" s="315" t="s">
        <v>763</v>
      </c>
      <c r="B16" s="316" t="s">
        <v>762</v>
      </c>
      <c r="C16" s="321">
        <f>C17</f>
        <v>0</v>
      </c>
    </row>
    <row r="17" spans="1:3" ht="60" customHeight="1">
      <c r="A17" s="315" t="s">
        <v>761</v>
      </c>
      <c r="B17" s="322" t="s">
        <v>760</v>
      </c>
      <c r="C17" s="321">
        <v>0</v>
      </c>
    </row>
    <row r="18" spans="1:3" ht="52.5" customHeight="1">
      <c r="A18" s="315" t="s">
        <v>759</v>
      </c>
      <c r="B18" s="316" t="s">
        <v>758</v>
      </c>
      <c r="C18" s="321">
        <f>C19</f>
        <v>-10000</v>
      </c>
    </row>
    <row r="19" spans="1:3" ht="63.75" customHeight="1">
      <c r="A19" s="315" t="s">
        <v>757</v>
      </c>
      <c r="B19" s="322" t="s">
        <v>756</v>
      </c>
      <c r="C19" s="321">
        <v>-10000</v>
      </c>
    </row>
    <row r="20" spans="1:4" ht="28.5">
      <c r="A20" s="318" t="s">
        <v>755</v>
      </c>
      <c r="B20" s="317" t="s">
        <v>754</v>
      </c>
      <c r="C20" s="320">
        <f>C25-C21</f>
        <v>91912.69999999995</v>
      </c>
      <c r="D20" s="309"/>
    </row>
    <row r="21" spans="1:3" ht="15.75">
      <c r="A21" s="318" t="s">
        <v>746</v>
      </c>
      <c r="B21" s="317" t="s">
        <v>753</v>
      </c>
      <c r="C21" s="310">
        <f>C22</f>
        <v>1416332.1</v>
      </c>
    </row>
    <row r="22" spans="1:3" ht="15.75">
      <c r="A22" s="315" t="s">
        <v>752</v>
      </c>
      <c r="B22" s="316" t="s">
        <v>751</v>
      </c>
      <c r="C22" s="313">
        <f>C23</f>
        <v>1416332.1</v>
      </c>
    </row>
    <row r="23" spans="1:3" ht="15.75">
      <c r="A23" s="315" t="s">
        <v>750</v>
      </c>
      <c r="B23" s="319" t="s">
        <v>749</v>
      </c>
      <c r="C23" s="313">
        <f>C24</f>
        <v>1416332.1</v>
      </c>
    </row>
    <row r="24" spans="1:4" ht="30">
      <c r="A24" s="315" t="s">
        <v>748</v>
      </c>
      <c r="B24" s="314" t="s">
        <v>747</v>
      </c>
      <c r="C24" s="313">
        <v>1416332.1</v>
      </c>
      <c r="D24" s="309"/>
    </row>
    <row r="25" spans="1:4" ht="15.75">
      <c r="A25" s="318" t="s">
        <v>746</v>
      </c>
      <c r="B25" s="317" t="s">
        <v>745</v>
      </c>
      <c r="C25" s="310">
        <f>C26</f>
        <v>1508244.8</v>
      </c>
      <c r="D25" s="309"/>
    </row>
    <row r="26" spans="1:4" ht="15.75">
      <c r="A26" s="315" t="s">
        <v>744</v>
      </c>
      <c r="B26" s="316" t="s">
        <v>743</v>
      </c>
      <c r="C26" s="313">
        <f>C27</f>
        <v>1508244.8</v>
      </c>
      <c r="D26" s="309"/>
    </row>
    <row r="27" spans="1:4" ht="15.75">
      <c r="A27" s="315" t="s">
        <v>742</v>
      </c>
      <c r="B27" s="316" t="s">
        <v>741</v>
      </c>
      <c r="C27" s="313">
        <f>C28</f>
        <v>1508244.8</v>
      </c>
      <c r="D27" s="309"/>
    </row>
    <row r="28" spans="1:4" ht="30">
      <c r="A28" s="315" t="s">
        <v>740</v>
      </c>
      <c r="B28" s="314" t="s">
        <v>739</v>
      </c>
      <c r="C28" s="313">
        <v>1508244.8</v>
      </c>
      <c r="D28" s="309"/>
    </row>
    <row r="29" spans="1:5" ht="21.75" customHeight="1">
      <c r="A29" s="312" t="s">
        <v>738</v>
      </c>
      <c r="B29" s="311"/>
      <c r="C29" s="310">
        <f>C10+C20+C15</f>
        <v>152175.89999999997</v>
      </c>
      <c r="D29" s="309"/>
      <c r="E29" s="309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308" customWidth="1"/>
    <col min="2" max="2" width="57.28125" style="308" customWidth="1"/>
    <col min="3" max="3" width="15.421875" style="308" customWidth="1"/>
    <col min="4" max="4" width="16.57421875" style="308" customWidth="1"/>
    <col min="5" max="16384" width="9.140625" style="308" customWidth="1"/>
  </cols>
  <sheetData>
    <row r="1" spans="1:4" ht="18" customHeight="1">
      <c r="A1" s="331"/>
      <c r="B1" s="334" t="s">
        <v>782</v>
      </c>
      <c r="C1" s="334"/>
      <c r="D1" s="334"/>
    </row>
    <row r="2" spans="1:4" ht="18.75" customHeight="1">
      <c r="A2" s="1"/>
      <c r="B2" s="333" t="s">
        <v>779</v>
      </c>
      <c r="C2" s="333"/>
      <c r="D2" s="333"/>
    </row>
    <row r="3" spans="1:4" ht="15" customHeight="1">
      <c r="A3" s="1"/>
      <c r="B3" s="333" t="s">
        <v>729</v>
      </c>
      <c r="C3" s="333"/>
      <c r="D3" s="333"/>
    </row>
    <row r="4" spans="2:4" ht="15" customHeight="1">
      <c r="B4" s="333" t="s">
        <v>536</v>
      </c>
      <c r="C4" s="333"/>
      <c r="D4" s="333"/>
    </row>
    <row r="5" spans="2:3" ht="15" customHeight="1">
      <c r="B5" s="326"/>
      <c r="C5" s="326"/>
    </row>
    <row r="6" spans="1:3" ht="15.75" customHeight="1">
      <c r="A6" s="328" t="s">
        <v>778</v>
      </c>
      <c r="B6" s="328"/>
      <c r="C6" s="328"/>
    </row>
    <row r="7" spans="1:3" ht="15.75">
      <c r="A7" s="328" t="s">
        <v>781</v>
      </c>
      <c r="B7" s="328"/>
      <c r="C7" s="328"/>
    </row>
    <row r="8" spans="2:4" ht="15">
      <c r="B8" s="327"/>
      <c r="C8" s="326"/>
      <c r="D8" s="326" t="s">
        <v>776</v>
      </c>
    </row>
    <row r="9" spans="1:4" ht="48" customHeight="1">
      <c r="A9" s="325"/>
      <c r="B9" s="324" t="s">
        <v>526</v>
      </c>
      <c r="C9" s="323" t="s">
        <v>735</v>
      </c>
      <c r="D9" s="323" t="s">
        <v>734</v>
      </c>
    </row>
    <row r="10" spans="1:4" ht="29.25" customHeight="1">
      <c r="A10" s="318" t="s">
        <v>775</v>
      </c>
      <c r="B10" s="317" t="s">
        <v>774</v>
      </c>
      <c r="C10" s="320">
        <f>C11+C13</f>
        <v>66972.19999999998</v>
      </c>
      <c r="D10" s="320">
        <f>D11+D13</f>
        <v>55578.19999999998</v>
      </c>
    </row>
    <row r="11" spans="1:4" ht="18.75" customHeight="1">
      <c r="A11" s="315" t="s">
        <v>773</v>
      </c>
      <c r="B11" s="316" t="s">
        <v>772</v>
      </c>
      <c r="C11" s="313">
        <f>C12</f>
        <v>224296.4</v>
      </c>
      <c r="D11" s="313">
        <f>D12</f>
        <v>279874.6</v>
      </c>
    </row>
    <row r="12" spans="1:4" ht="31.5" customHeight="1">
      <c r="A12" s="315" t="s">
        <v>771</v>
      </c>
      <c r="B12" s="322" t="s">
        <v>770</v>
      </c>
      <c r="C12" s="313">
        <v>224296.4</v>
      </c>
      <c r="D12" s="313">
        <v>279874.6</v>
      </c>
    </row>
    <row r="13" spans="1:4" ht="34.5" customHeight="1">
      <c r="A13" s="315" t="s">
        <v>769</v>
      </c>
      <c r="B13" s="316" t="s">
        <v>768</v>
      </c>
      <c r="C13" s="321">
        <f>C14</f>
        <v>-157324.2</v>
      </c>
      <c r="D13" s="321">
        <f>D14</f>
        <v>-224296.4</v>
      </c>
    </row>
    <row r="14" spans="1:4" ht="48.75" customHeight="1">
      <c r="A14" s="315" t="s">
        <v>767</v>
      </c>
      <c r="B14" s="322" t="s">
        <v>766</v>
      </c>
      <c r="C14" s="321">
        <v>-157324.2</v>
      </c>
      <c r="D14" s="321">
        <v>-224296.4</v>
      </c>
    </row>
    <row r="15" spans="1:4" ht="33.75" customHeight="1">
      <c r="A15" s="318" t="s">
        <v>765</v>
      </c>
      <c r="B15" s="317" t="s">
        <v>764</v>
      </c>
      <c r="C15" s="320">
        <f>C16+C18</f>
        <v>-10000</v>
      </c>
      <c r="D15" s="320">
        <f>D16+D18</f>
        <v>0</v>
      </c>
    </row>
    <row r="16" spans="1:4" ht="47.25" customHeight="1">
      <c r="A16" s="315" t="s">
        <v>763</v>
      </c>
      <c r="B16" s="316" t="s">
        <v>762</v>
      </c>
      <c r="C16" s="321">
        <f>C17</f>
        <v>0</v>
      </c>
      <c r="D16" s="321">
        <f>D17</f>
        <v>0</v>
      </c>
    </row>
    <row r="17" spans="1:4" ht="60" customHeight="1">
      <c r="A17" s="315" t="s">
        <v>761</v>
      </c>
      <c r="B17" s="322" t="s">
        <v>760</v>
      </c>
      <c r="C17" s="321">
        <v>0</v>
      </c>
      <c r="D17" s="321">
        <v>0</v>
      </c>
    </row>
    <row r="18" spans="1:4" ht="52.5" customHeight="1">
      <c r="A18" s="315" t="s">
        <v>759</v>
      </c>
      <c r="B18" s="316" t="s">
        <v>758</v>
      </c>
      <c r="C18" s="321">
        <f>C19</f>
        <v>-10000</v>
      </c>
      <c r="D18" s="321">
        <f>D19</f>
        <v>0</v>
      </c>
    </row>
    <row r="19" spans="1:4" ht="63.75" customHeight="1">
      <c r="A19" s="315" t="s">
        <v>757</v>
      </c>
      <c r="B19" s="322" t="s">
        <v>756</v>
      </c>
      <c r="C19" s="321">
        <v>-10000</v>
      </c>
      <c r="D19" s="321">
        <v>0</v>
      </c>
    </row>
    <row r="20" spans="1:4" ht="28.5">
      <c r="A20" s="318" t="s">
        <v>755</v>
      </c>
      <c r="B20" s="317" t="s">
        <v>754</v>
      </c>
      <c r="C20" s="320">
        <f>C25-C21</f>
        <v>0</v>
      </c>
      <c r="D20" s="320">
        <f>D25-D21</f>
        <v>0</v>
      </c>
    </row>
    <row r="21" spans="1:4" ht="15.75">
      <c r="A21" s="318" t="s">
        <v>746</v>
      </c>
      <c r="B21" s="317" t="s">
        <v>753</v>
      </c>
      <c r="C21" s="310">
        <f>C22</f>
        <v>1242285.8</v>
      </c>
      <c r="D21" s="310">
        <f>D22</f>
        <v>1344033.2</v>
      </c>
    </row>
    <row r="22" spans="1:4" ht="15.75">
      <c r="A22" s="315" t="s">
        <v>752</v>
      </c>
      <c r="B22" s="316" t="s">
        <v>751</v>
      </c>
      <c r="C22" s="313">
        <f>C23</f>
        <v>1242285.8</v>
      </c>
      <c r="D22" s="313">
        <f>D23</f>
        <v>1344033.2</v>
      </c>
    </row>
    <row r="23" spans="1:4" ht="15.75">
      <c r="A23" s="315" t="s">
        <v>750</v>
      </c>
      <c r="B23" s="319" t="s">
        <v>749</v>
      </c>
      <c r="C23" s="313">
        <f>C24</f>
        <v>1242285.8</v>
      </c>
      <c r="D23" s="313">
        <f>D24</f>
        <v>1344033.2</v>
      </c>
    </row>
    <row r="24" spans="1:4" ht="30">
      <c r="A24" s="315" t="s">
        <v>748</v>
      </c>
      <c r="B24" s="314" t="s">
        <v>747</v>
      </c>
      <c r="C24" s="313">
        <v>1242285.8</v>
      </c>
      <c r="D24" s="313">
        <v>1344033.2</v>
      </c>
    </row>
    <row r="25" spans="1:4" ht="15.75">
      <c r="A25" s="318" t="s">
        <v>746</v>
      </c>
      <c r="B25" s="317" t="s">
        <v>745</v>
      </c>
      <c r="C25" s="310">
        <f>C26</f>
        <v>1242285.8</v>
      </c>
      <c r="D25" s="310">
        <f>D26</f>
        <v>1344033.2</v>
      </c>
    </row>
    <row r="26" spans="1:4" ht="15.75">
      <c r="A26" s="315" t="s">
        <v>744</v>
      </c>
      <c r="B26" s="316" t="s">
        <v>743</v>
      </c>
      <c r="C26" s="313">
        <f>C27</f>
        <v>1242285.8</v>
      </c>
      <c r="D26" s="313">
        <f>D27</f>
        <v>1344033.2</v>
      </c>
    </row>
    <row r="27" spans="1:4" ht="15.75">
      <c r="A27" s="315" t="s">
        <v>742</v>
      </c>
      <c r="B27" s="316" t="s">
        <v>741</v>
      </c>
      <c r="C27" s="313">
        <f>C28</f>
        <v>1242285.8</v>
      </c>
      <c r="D27" s="313">
        <f>D28</f>
        <v>1344033.2</v>
      </c>
    </row>
    <row r="28" spans="1:4" ht="30">
      <c r="A28" s="315" t="s">
        <v>740</v>
      </c>
      <c r="B28" s="314" t="s">
        <v>739</v>
      </c>
      <c r="C28" s="313">
        <v>1242285.8</v>
      </c>
      <c r="D28" s="313">
        <v>1344033.2</v>
      </c>
    </row>
    <row r="29" spans="1:6" ht="21.75" customHeight="1">
      <c r="A29" s="312" t="s">
        <v>738</v>
      </c>
      <c r="B29" s="311"/>
      <c r="C29" s="310">
        <f>C10+C20+C15</f>
        <v>56972.19999999998</v>
      </c>
      <c r="D29" s="310">
        <f>D10+D20+D15</f>
        <v>55578.19999999998</v>
      </c>
      <c r="E29" s="309"/>
      <c r="F29" s="332"/>
    </row>
  </sheetData>
  <sheetProtection/>
  <mergeCells count="7">
    <mergeCell ref="B4:D4"/>
    <mergeCell ref="A29:B29"/>
    <mergeCell ref="A6:C6"/>
    <mergeCell ref="A7:C7"/>
    <mergeCell ref="B1:D1"/>
    <mergeCell ref="B2:D2"/>
    <mergeCell ref="B3:D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308" customWidth="1"/>
    <col min="2" max="2" width="28.57421875" style="308" customWidth="1"/>
    <col min="3" max="3" width="48.00390625" style="308" customWidth="1"/>
    <col min="4" max="16384" width="9.140625" style="308" customWidth="1"/>
  </cols>
  <sheetData>
    <row r="1" spans="1:3" ht="17.25" customHeight="1">
      <c r="A1" s="1"/>
      <c r="B1" s="1"/>
      <c r="C1" s="345" t="s">
        <v>801</v>
      </c>
    </row>
    <row r="2" spans="1:6" ht="33.75" customHeight="1">
      <c r="A2" s="1"/>
      <c r="B2" s="1"/>
      <c r="C2" s="344" t="s">
        <v>529</v>
      </c>
      <c r="D2" s="83"/>
      <c r="E2" s="83"/>
      <c r="F2" s="83"/>
    </row>
    <row r="3" spans="1:6" ht="16.5" customHeight="1">
      <c r="A3" s="1"/>
      <c r="B3" s="1"/>
      <c r="C3" s="344" t="s">
        <v>536</v>
      </c>
      <c r="D3" s="343"/>
      <c r="E3" s="343"/>
      <c r="F3" s="343"/>
    </row>
    <row r="4" spans="1:3" ht="42.75" customHeight="1">
      <c r="A4" s="342" t="s">
        <v>800</v>
      </c>
      <c r="B4" s="342"/>
      <c r="C4" s="342"/>
    </row>
    <row r="5" spans="1:3" ht="12.75">
      <c r="A5" s="1"/>
      <c r="B5" s="1"/>
      <c r="C5" s="1"/>
    </row>
    <row r="6" spans="1:3" ht="52.5" customHeight="1">
      <c r="A6" s="341" t="s">
        <v>799</v>
      </c>
      <c r="B6" s="341" t="s">
        <v>798</v>
      </c>
      <c r="C6" s="341" t="s">
        <v>526</v>
      </c>
    </row>
    <row r="7" spans="1:3" ht="48.75" customHeight="1">
      <c r="A7" s="340" t="s">
        <v>437</v>
      </c>
      <c r="B7" s="339"/>
      <c r="C7" s="338" t="s">
        <v>797</v>
      </c>
    </row>
    <row r="8" spans="1:3" ht="51" customHeight="1">
      <c r="A8" s="337" t="s">
        <v>437</v>
      </c>
      <c r="B8" s="336" t="s">
        <v>796</v>
      </c>
      <c r="C8" s="335" t="s">
        <v>770</v>
      </c>
    </row>
    <row r="9" spans="1:3" ht="47.25" customHeight="1">
      <c r="A9" s="337" t="s">
        <v>437</v>
      </c>
      <c r="B9" s="336" t="s">
        <v>795</v>
      </c>
      <c r="C9" s="335" t="s">
        <v>766</v>
      </c>
    </row>
    <row r="10" spans="1:3" ht="63" customHeight="1">
      <c r="A10" s="337" t="s">
        <v>437</v>
      </c>
      <c r="B10" s="336" t="s">
        <v>794</v>
      </c>
      <c r="C10" s="335" t="s">
        <v>793</v>
      </c>
    </row>
    <row r="11" spans="1:3" ht="63" customHeight="1">
      <c r="A11" s="337" t="s">
        <v>437</v>
      </c>
      <c r="B11" s="336" t="s">
        <v>792</v>
      </c>
      <c r="C11" s="335" t="s">
        <v>791</v>
      </c>
    </row>
    <row r="12" spans="1:3" ht="54.75" customHeight="1">
      <c r="A12" s="337" t="s">
        <v>437</v>
      </c>
      <c r="B12" s="336" t="s">
        <v>790</v>
      </c>
      <c r="C12" s="335" t="s">
        <v>789</v>
      </c>
    </row>
    <row r="13" spans="1:3" ht="70.5" customHeight="1">
      <c r="A13" s="337" t="s">
        <v>437</v>
      </c>
      <c r="B13" s="336" t="s">
        <v>788</v>
      </c>
      <c r="C13" s="335" t="s">
        <v>787</v>
      </c>
    </row>
    <row r="14" spans="1:3" ht="31.5">
      <c r="A14" s="337" t="s">
        <v>437</v>
      </c>
      <c r="B14" s="336" t="s">
        <v>786</v>
      </c>
      <c r="C14" s="335" t="s">
        <v>785</v>
      </c>
    </row>
    <row r="15" spans="1:3" ht="31.5">
      <c r="A15" s="337" t="s">
        <v>437</v>
      </c>
      <c r="B15" s="336" t="s">
        <v>784</v>
      </c>
      <c r="C15" s="335" t="s">
        <v>783</v>
      </c>
    </row>
  </sheetData>
  <sheetProtection/>
  <mergeCells count="1">
    <mergeCell ref="A4:C4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7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50.00390625" style="82" customWidth="1"/>
    <col min="2" max="2" width="7.00390625" style="82" customWidth="1"/>
    <col min="3" max="4" width="7.28125" style="82" customWidth="1"/>
    <col min="5" max="5" width="11.140625" style="82" customWidth="1"/>
    <col min="6" max="6" width="9.57421875" style="86" customWidth="1"/>
    <col min="7" max="7" width="13.8515625" style="82" customWidth="1"/>
    <col min="8" max="16384" width="9.140625" style="82" customWidth="1"/>
  </cols>
  <sheetData>
    <row r="1" spans="4:7" ht="15.75" customHeight="1" hidden="1">
      <c r="D1" s="155"/>
      <c r="E1" s="155"/>
      <c r="F1" s="155"/>
      <c r="G1" s="155"/>
    </row>
    <row r="2" spans="4:7" ht="15">
      <c r="D2" s="154" t="s">
        <v>530</v>
      </c>
      <c r="E2" s="154"/>
      <c r="F2" s="154"/>
      <c r="G2" s="154"/>
    </row>
    <row r="3" spans="4:7" ht="30" customHeight="1">
      <c r="D3" s="153" t="s">
        <v>529</v>
      </c>
      <c r="E3" s="153"/>
      <c r="F3" s="153"/>
      <c r="G3" s="153"/>
    </row>
    <row r="4" spans="4:7" ht="15" customHeight="1">
      <c r="D4" s="153" t="s">
        <v>528</v>
      </c>
      <c r="E4" s="153"/>
      <c r="F4" s="153"/>
      <c r="G4" s="153"/>
    </row>
    <row r="6" spans="1:7" ht="23.25" customHeight="1">
      <c r="A6" s="152" t="s">
        <v>527</v>
      </c>
      <c r="B6" s="152"/>
      <c r="C6" s="152"/>
      <c r="D6" s="152"/>
      <c r="E6" s="152"/>
      <c r="F6" s="152"/>
      <c r="G6" s="152"/>
    </row>
    <row r="7" spans="1:7" ht="15" customHeight="1">
      <c r="A7" s="151"/>
      <c r="B7" s="151"/>
      <c r="C7" s="151"/>
      <c r="D7" s="151"/>
      <c r="E7" s="151"/>
      <c r="F7" s="151"/>
      <c r="G7" s="151"/>
    </row>
    <row r="8" ht="15">
      <c r="G8" s="86" t="s">
        <v>98</v>
      </c>
    </row>
    <row r="9" spans="1:7" ht="42.75">
      <c r="A9" s="149" t="s">
        <v>526</v>
      </c>
      <c r="B9" s="149" t="s">
        <v>525</v>
      </c>
      <c r="C9" s="149" t="s">
        <v>524</v>
      </c>
      <c r="D9" s="149" t="s">
        <v>523</v>
      </c>
      <c r="E9" s="149" t="s">
        <v>522</v>
      </c>
      <c r="F9" s="150" t="s">
        <v>521</v>
      </c>
      <c r="G9" s="149" t="s">
        <v>520</v>
      </c>
    </row>
    <row r="10" spans="1:7" ht="15" customHeight="1" hidden="1">
      <c r="A10" s="149"/>
      <c r="B10" s="149"/>
      <c r="C10" s="149"/>
      <c r="D10" s="149"/>
      <c r="E10" s="149"/>
      <c r="F10" s="150"/>
      <c r="G10" s="149"/>
    </row>
    <row r="11" spans="1:7" ht="15" customHeight="1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7</v>
      </c>
    </row>
    <row r="12" spans="1:7" ht="28.5">
      <c r="A12" s="135" t="s">
        <v>519</v>
      </c>
      <c r="B12" s="110" t="s">
        <v>517</v>
      </c>
      <c r="C12" s="125"/>
      <c r="D12" s="125"/>
      <c r="E12" s="125"/>
      <c r="F12" s="124"/>
      <c r="G12" s="109">
        <f>G13</f>
        <v>5346</v>
      </c>
    </row>
    <row r="13" spans="1:7" ht="15">
      <c r="A13" s="96" t="s">
        <v>338</v>
      </c>
      <c r="B13" s="94" t="s">
        <v>517</v>
      </c>
      <c r="C13" s="94" t="s">
        <v>94</v>
      </c>
      <c r="D13" s="94"/>
      <c r="E13" s="94"/>
      <c r="F13" s="93"/>
      <c r="G13" s="92">
        <f>G14</f>
        <v>5346</v>
      </c>
    </row>
    <row r="14" spans="1:7" ht="60">
      <c r="A14" s="99" t="s">
        <v>89</v>
      </c>
      <c r="B14" s="94" t="s">
        <v>517</v>
      </c>
      <c r="C14" s="94" t="s">
        <v>94</v>
      </c>
      <c r="D14" s="94" t="s">
        <v>90</v>
      </c>
      <c r="E14" s="94"/>
      <c r="F14" s="93"/>
      <c r="G14" s="92">
        <f>G15</f>
        <v>5346</v>
      </c>
    </row>
    <row r="15" spans="1:7" ht="34.5" customHeight="1">
      <c r="A15" s="99" t="s">
        <v>134</v>
      </c>
      <c r="B15" s="94" t="s">
        <v>517</v>
      </c>
      <c r="C15" s="94" t="s">
        <v>94</v>
      </c>
      <c r="D15" s="94" t="s">
        <v>90</v>
      </c>
      <c r="E15" s="94" t="s">
        <v>133</v>
      </c>
      <c r="F15" s="93"/>
      <c r="G15" s="92">
        <f>G16+G23</f>
        <v>5346</v>
      </c>
    </row>
    <row r="16" spans="1:7" ht="15">
      <c r="A16" s="99" t="s">
        <v>132</v>
      </c>
      <c r="B16" s="94" t="s">
        <v>517</v>
      </c>
      <c r="C16" s="94" t="s">
        <v>94</v>
      </c>
      <c r="D16" s="94" t="s">
        <v>90</v>
      </c>
      <c r="E16" s="94" t="s">
        <v>127</v>
      </c>
      <c r="F16" s="93"/>
      <c r="G16" s="92">
        <f>SUM(G17:G22)</f>
        <v>4210</v>
      </c>
    </row>
    <row r="17" spans="1:7" ht="15">
      <c r="A17" s="98" t="s">
        <v>124</v>
      </c>
      <c r="B17" s="94" t="s">
        <v>517</v>
      </c>
      <c r="C17" s="94" t="s">
        <v>94</v>
      </c>
      <c r="D17" s="94" t="s">
        <v>90</v>
      </c>
      <c r="E17" s="94" t="s">
        <v>127</v>
      </c>
      <c r="F17" s="97" t="s">
        <v>131</v>
      </c>
      <c r="G17" s="92">
        <f>2642+36</f>
        <v>2678</v>
      </c>
    </row>
    <row r="18" spans="1:7" ht="30">
      <c r="A18" s="98" t="s">
        <v>122</v>
      </c>
      <c r="B18" s="94" t="s">
        <v>517</v>
      </c>
      <c r="C18" s="94" t="s">
        <v>94</v>
      </c>
      <c r="D18" s="94" t="s">
        <v>90</v>
      </c>
      <c r="E18" s="94" t="s">
        <v>127</v>
      </c>
      <c r="F18" s="97" t="s">
        <v>130</v>
      </c>
      <c r="G18" s="92">
        <v>31</v>
      </c>
    </row>
    <row r="19" spans="1:7" ht="30">
      <c r="A19" s="98" t="s">
        <v>120</v>
      </c>
      <c r="B19" s="94" t="s">
        <v>517</v>
      </c>
      <c r="C19" s="94" t="s">
        <v>94</v>
      </c>
      <c r="D19" s="94" t="s">
        <v>90</v>
      </c>
      <c r="E19" s="94" t="s">
        <v>127</v>
      </c>
      <c r="F19" s="97" t="s">
        <v>119</v>
      </c>
      <c r="G19" s="92">
        <v>372</v>
      </c>
    </row>
    <row r="20" spans="1:7" ht="30">
      <c r="A20" s="96" t="s">
        <v>118</v>
      </c>
      <c r="B20" s="94" t="s">
        <v>517</v>
      </c>
      <c r="C20" s="94" t="s">
        <v>94</v>
      </c>
      <c r="D20" s="94" t="s">
        <v>90</v>
      </c>
      <c r="E20" s="94" t="s">
        <v>127</v>
      </c>
      <c r="F20" s="97" t="s">
        <v>117</v>
      </c>
      <c r="G20" s="136">
        <v>1097</v>
      </c>
    </row>
    <row r="21" spans="1:7" ht="30">
      <c r="A21" s="98" t="s">
        <v>129</v>
      </c>
      <c r="B21" s="94" t="s">
        <v>517</v>
      </c>
      <c r="C21" s="94" t="s">
        <v>94</v>
      </c>
      <c r="D21" s="94" t="s">
        <v>90</v>
      </c>
      <c r="E21" s="94" t="s">
        <v>127</v>
      </c>
      <c r="F21" s="97" t="s">
        <v>128</v>
      </c>
      <c r="G21" s="136">
        <v>21</v>
      </c>
    </row>
    <row r="22" spans="1:7" ht="30">
      <c r="A22" s="98" t="s">
        <v>116</v>
      </c>
      <c r="B22" s="94" t="s">
        <v>517</v>
      </c>
      <c r="C22" s="94" t="s">
        <v>94</v>
      </c>
      <c r="D22" s="94" t="s">
        <v>90</v>
      </c>
      <c r="E22" s="94" t="s">
        <v>127</v>
      </c>
      <c r="F22" s="97" t="s">
        <v>114</v>
      </c>
      <c r="G22" s="136">
        <v>11</v>
      </c>
    </row>
    <row r="23" spans="1:7" ht="30">
      <c r="A23" s="96" t="s">
        <v>518</v>
      </c>
      <c r="B23" s="94" t="s">
        <v>517</v>
      </c>
      <c r="C23" s="94" t="s">
        <v>94</v>
      </c>
      <c r="D23" s="94" t="s">
        <v>90</v>
      </c>
      <c r="E23" s="94" t="s">
        <v>516</v>
      </c>
      <c r="F23" s="93"/>
      <c r="G23" s="92">
        <f>G24</f>
        <v>1136</v>
      </c>
    </row>
    <row r="24" spans="1:7" ht="15">
      <c r="A24" s="98" t="s">
        <v>124</v>
      </c>
      <c r="B24" s="94" t="s">
        <v>517</v>
      </c>
      <c r="C24" s="94" t="s">
        <v>94</v>
      </c>
      <c r="D24" s="94" t="s">
        <v>90</v>
      </c>
      <c r="E24" s="94" t="s">
        <v>516</v>
      </c>
      <c r="F24" s="97" t="s">
        <v>131</v>
      </c>
      <c r="G24" s="92">
        <f>1060+76</f>
        <v>1136</v>
      </c>
    </row>
    <row r="25" spans="1:7" ht="15">
      <c r="A25" s="111" t="s">
        <v>515</v>
      </c>
      <c r="B25" s="110" t="s">
        <v>445</v>
      </c>
      <c r="C25" s="125"/>
      <c r="D25" s="125"/>
      <c r="E25" s="125"/>
      <c r="F25" s="124"/>
      <c r="G25" s="109">
        <f>G26+G75+G81+G128+G145+G161+G155+G118+G141</f>
        <v>163637.3</v>
      </c>
    </row>
    <row r="26" spans="1:7" ht="15">
      <c r="A26" s="96" t="s">
        <v>338</v>
      </c>
      <c r="B26" s="94" t="s">
        <v>445</v>
      </c>
      <c r="C26" s="94" t="s">
        <v>94</v>
      </c>
      <c r="D26" s="94"/>
      <c r="E26" s="94"/>
      <c r="F26" s="93"/>
      <c r="G26" s="92">
        <f>G27+G31+G42+G46+G50</f>
        <v>73917.4</v>
      </c>
    </row>
    <row r="27" spans="1:7" ht="45">
      <c r="A27" s="96" t="s">
        <v>514</v>
      </c>
      <c r="B27" s="94" t="s">
        <v>445</v>
      </c>
      <c r="C27" s="94" t="s">
        <v>94</v>
      </c>
      <c r="D27" s="94" t="s">
        <v>92</v>
      </c>
      <c r="E27" s="94"/>
      <c r="F27" s="93"/>
      <c r="G27" s="92">
        <f>G29</f>
        <v>1276</v>
      </c>
    </row>
    <row r="28" spans="1:7" ht="35.25" customHeight="1">
      <c r="A28" s="99" t="s">
        <v>134</v>
      </c>
      <c r="B28" s="94" t="s">
        <v>445</v>
      </c>
      <c r="C28" s="94" t="s">
        <v>94</v>
      </c>
      <c r="D28" s="94" t="s">
        <v>92</v>
      </c>
      <c r="E28" s="94" t="s">
        <v>133</v>
      </c>
      <c r="F28" s="93"/>
      <c r="G28" s="92">
        <f>G29</f>
        <v>1276</v>
      </c>
    </row>
    <row r="29" spans="1:7" ht="15">
      <c r="A29" s="99" t="s">
        <v>513</v>
      </c>
      <c r="B29" s="94" t="s">
        <v>445</v>
      </c>
      <c r="C29" s="94" t="s">
        <v>94</v>
      </c>
      <c r="D29" s="94" t="s">
        <v>92</v>
      </c>
      <c r="E29" s="94" t="s">
        <v>512</v>
      </c>
      <c r="F29" s="93"/>
      <c r="G29" s="92">
        <f>G30</f>
        <v>1276</v>
      </c>
    </row>
    <row r="30" spans="1:7" ht="15">
      <c r="A30" s="98" t="s">
        <v>124</v>
      </c>
      <c r="B30" s="94" t="s">
        <v>445</v>
      </c>
      <c r="C30" s="94" t="s">
        <v>94</v>
      </c>
      <c r="D30" s="94" t="s">
        <v>92</v>
      </c>
      <c r="E30" s="94" t="s">
        <v>512</v>
      </c>
      <c r="F30" s="97" t="s">
        <v>131</v>
      </c>
      <c r="G30" s="92">
        <f>1128+148</f>
        <v>1276</v>
      </c>
    </row>
    <row r="31" spans="1:7" ht="60">
      <c r="A31" s="99" t="s">
        <v>87</v>
      </c>
      <c r="B31" s="94" t="s">
        <v>445</v>
      </c>
      <c r="C31" s="94" t="s">
        <v>94</v>
      </c>
      <c r="D31" s="94" t="s">
        <v>88</v>
      </c>
      <c r="E31" s="94"/>
      <c r="F31" s="93"/>
      <c r="G31" s="92">
        <f>G33+G40</f>
        <v>49117</v>
      </c>
    </row>
    <row r="32" spans="1:7" ht="34.5" customHeight="1">
      <c r="A32" s="99" t="s">
        <v>134</v>
      </c>
      <c r="B32" s="94" t="s">
        <v>445</v>
      </c>
      <c r="C32" s="94" t="s">
        <v>94</v>
      </c>
      <c r="D32" s="94" t="s">
        <v>88</v>
      </c>
      <c r="E32" s="94" t="s">
        <v>133</v>
      </c>
      <c r="F32" s="93"/>
      <c r="G32" s="92">
        <f>G33</f>
        <v>49028.9</v>
      </c>
    </row>
    <row r="33" spans="1:7" ht="15">
      <c r="A33" s="99" t="s">
        <v>132</v>
      </c>
      <c r="B33" s="94" t="s">
        <v>445</v>
      </c>
      <c r="C33" s="94" t="s">
        <v>94</v>
      </c>
      <c r="D33" s="94" t="s">
        <v>88</v>
      </c>
      <c r="E33" s="94" t="s">
        <v>127</v>
      </c>
      <c r="F33" s="93"/>
      <c r="G33" s="92">
        <f>SUM(G34:G39)</f>
        <v>49028.9</v>
      </c>
    </row>
    <row r="34" spans="1:7" ht="15">
      <c r="A34" s="98" t="s">
        <v>124</v>
      </c>
      <c r="B34" s="94" t="s">
        <v>445</v>
      </c>
      <c r="C34" s="94" t="s">
        <v>94</v>
      </c>
      <c r="D34" s="94" t="s">
        <v>88</v>
      </c>
      <c r="E34" s="94" t="s">
        <v>127</v>
      </c>
      <c r="F34" s="97" t="s">
        <v>131</v>
      </c>
      <c r="G34" s="92">
        <f>33465-1283</f>
        <v>32182</v>
      </c>
    </row>
    <row r="35" spans="1:7" ht="30">
      <c r="A35" s="98" t="s">
        <v>122</v>
      </c>
      <c r="B35" s="94" t="s">
        <v>445</v>
      </c>
      <c r="C35" s="94" t="s">
        <v>94</v>
      </c>
      <c r="D35" s="94" t="s">
        <v>88</v>
      </c>
      <c r="E35" s="94" t="s">
        <v>127</v>
      </c>
      <c r="F35" s="97" t="s">
        <v>130</v>
      </c>
      <c r="G35" s="92">
        <f>50+200</f>
        <v>250</v>
      </c>
    </row>
    <row r="36" spans="1:7" ht="30">
      <c r="A36" s="98" t="s">
        <v>120</v>
      </c>
      <c r="B36" s="94" t="s">
        <v>445</v>
      </c>
      <c r="C36" s="94" t="s">
        <v>94</v>
      </c>
      <c r="D36" s="94" t="s">
        <v>88</v>
      </c>
      <c r="E36" s="94" t="s">
        <v>127</v>
      </c>
      <c r="F36" s="97" t="s">
        <v>119</v>
      </c>
      <c r="G36" s="92">
        <f>2812+182.9</f>
        <v>2994.9</v>
      </c>
    </row>
    <row r="37" spans="1:7" ht="30">
      <c r="A37" s="96" t="s">
        <v>118</v>
      </c>
      <c r="B37" s="94" t="s">
        <v>445</v>
      </c>
      <c r="C37" s="94" t="s">
        <v>94</v>
      </c>
      <c r="D37" s="94" t="s">
        <v>88</v>
      </c>
      <c r="E37" s="94" t="s">
        <v>127</v>
      </c>
      <c r="F37" s="97" t="s">
        <v>117</v>
      </c>
      <c r="G37" s="92">
        <f>10217+157+2812</f>
        <v>13186</v>
      </c>
    </row>
    <row r="38" spans="1:7" ht="30">
      <c r="A38" s="98" t="s">
        <v>129</v>
      </c>
      <c r="B38" s="94" t="s">
        <v>445</v>
      </c>
      <c r="C38" s="94" t="s">
        <v>94</v>
      </c>
      <c r="D38" s="94" t="s">
        <v>88</v>
      </c>
      <c r="E38" s="94" t="s">
        <v>127</v>
      </c>
      <c r="F38" s="97" t="s">
        <v>128</v>
      </c>
      <c r="G38" s="92">
        <v>106</v>
      </c>
    </row>
    <row r="39" spans="1:7" ht="30">
      <c r="A39" s="98" t="s">
        <v>116</v>
      </c>
      <c r="B39" s="94" t="s">
        <v>445</v>
      </c>
      <c r="C39" s="94" t="s">
        <v>94</v>
      </c>
      <c r="D39" s="94" t="s">
        <v>88</v>
      </c>
      <c r="E39" s="94" t="s">
        <v>127</v>
      </c>
      <c r="F39" s="97" t="s">
        <v>114</v>
      </c>
      <c r="G39" s="92">
        <f>10+300</f>
        <v>310</v>
      </c>
    </row>
    <row r="40" spans="1:7" ht="15">
      <c r="A40" s="98" t="s">
        <v>294</v>
      </c>
      <c r="B40" s="94" t="s">
        <v>445</v>
      </c>
      <c r="C40" s="94" t="s">
        <v>94</v>
      </c>
      <c r="D40" s="94" t="s">
        <v>88</v>
      </c>
      <c r="E40" s="94" t="s">
        <v>293</v>
      </c>
      <c r="F40" s="97"/>
      <c r="G40" s="92">
        <f>G41</f>
        <v>88.1</v>
      </c>
    </row>
    <row r="41" spans="1:7" ht="15">
      <c r="A41" s="98" t="s">
        <v>312</v>
      </c>
      <c r="B41" s="94" t="s">
        <v>445</v>
      </c>
      <c r="C41" s="94" t="s">
        <v>94</v>
      </c>
      <c r="D41" s="94" t="s">
        <v>88</v>
      </c>
      <c r="E41" s="94" t="s">
        <v>293</v>
      </c>
      <c r="F41" s="97" t="s">
        <v>311</v>
      </c>
      <c r="G41" s="92">
        <f>57.5+25.6+5</f>
        <v>88.1</v>
      </c>
    </row>
    <row r="42" spans="1:7" ht="22.5" customHeight="1">
      <c r="A42" s="98" t="s">
        <v>83</v>
      </c>
      <c r="B42" s="94" t="s">
        <v>445</v>
      </c>
      <c r="C42" s="94" t="s">
        <v>94</v>
      </c>
      <c r="D42" s="94" t="s">
        <v>84</v>
      </c>
      <c r="E42" s="94"/>
      <c r="F42" s="97"/>
      <c r="G42" s="92">
        <f>G43</f>
        <v>3000</v>
      </c>
    </row>
    <row r="43" spans="1:7" ht="15">
      <c r="A43" s="99" t="s">
        <v>511</v>
      </c>
      <c r="B43" s="94" t="s">
        <v>445</v>
      </c>
      <c r="C43" s="94" t="s">
        <v>94</v>
      </c>
      <c r="D43" s="94" t="s">
        <v>84</v>
      </c>
      <c r="E43" s="94" t="s">
        <v>510</v>
      </c>
      <c r="F43" s="97"/>
      <c r="G43" s="92">
        <f>G44</f>
        <v>3000</v>
      </c>
    </row>
    <row r="44" spans="1:7" ht="45">
      <c r="A44" s="99" t="s">
        <v>509</v>
      </c>
      <c r="B44" s="94" t="s">
        <v>445</v>
      </c>
      <c r="C44" s="94" t="s">
        <v>94</v>
      </c>
      <c r="D44" s="94" t="s">
        <v>84</v>
      </c>
      <c r="E44" s="94" t="s">
        <v>507</v>
      </c>
      <c r="F44" s="97"/>
      <c r="G44" s="92">
        <f>G45</f>
        <v>3000</v>
      </c>
    </row>
    <row r="45" spans="1:7" ht="15">
      <c r="A45" s="140" t="s">
        <v>508</v>
      </c>
      <c r="B45" s="94" t="s">
        <v>445</v>
      </c>
      <c r="C45" s="94" t="s">
        <v>94</v>
      </c>
      <c r="D45" s="94" t="s">
        <v>84</v>
      </c>
      <c r="E45" s="94" t="s">
        <v>507</v>
      </c>
      <c r="F45" s="93" t="s">
        <v>506</v>
      </c>
      <c r="G45" s="92">
        <v>3000</v>
      </c>
    </row>
    <row r="46" spans="1:7" ht="15">
      <c r="A46" s="96" t="s">
        <v>81</v>
      </c>
      <c r="B46" s="94" t="s">
        <v>445</v>
      </c>
      <c r="C46" s="94" t="s">
        <v>94</v>
      </c>
      <c r="D46" s="94" t="s">
        <v>82</v>
      </c>
      <c r="E46" s="94"/>
      <c r="F46" s="93"/>
      <c r="G46" s="92">
        <f>G47</f>
        <v>2912.4</v>
      </c>
    </row>
    <row r="47" spans="1:7" ht="15">
      <c r="A47" s="96" t="s">
        <v>81</v>
      </c>
      <c r="B47" s="94" t="s">
        <v>445</v>
      </c>
      <c r="C47" s="94" t="s">
        <v>94</v>
      </c>
      <c r="D47" s="94" t="s">
        <v>82</v>
      </c>
      <c r="E47" s="94" t="s">
        <v>505</v>
      </c>
      <c r="F47" s="93"/>
      <c r="G47" s="92">
        <f>G48</f>
        <v>2912.4</v>
      </c>
    </row>
    <row r="48" spans="1:7" ht="15">
      <c r="A48" s="96" t="s">
        <v>294</v>
      </c>
      <c r="B48" s="94" t="s">
        <v>445</v>
      </c>
      <c r="C48" s="94" t="s">
        <v>94</v>
      </c>
      <c r="D48" s="94" t="s">
        <v>82</v>
      </c>
      <c r="E48" s="94" t="s">
        <v>293</v>
      </c>
      <c r="F48" s="93"/>
      <c r="G48" s="92">
        <f>G49</f>
        <v>2912.4</v>
      </c>
    </row>
    <row r="49" spans="1:7" ht="15">
      <c r="A49" s="96" t="s">
        <v>312</v>
      </c>
      <c r="B49" s="94" t="s">
        <v>445</v>
      </c>
      <c r="C49" s="94" t="s">
        <v>94</v>
      </c>
      <c r="D49" s="94" t="s">
        <v>82</v>
      </c>
      <c r="E49" s="94" t="s">
        <v>293</v>
      </c>
      <c r="F49" s="93" t="s">
        <v>311</v>
      </c>
      <c r="G49" s="92">
        <f>3500-57.5-96.1-429-5</f>
        <v>2912.4</v>
      </c>
    </row>
    <row r="50" spans="1:7" ht="15">
      <c r="A50" s="96" t="s">
        <v>79</v>
      </c>
      <c r="B50" s="94" t="s">
        <v>445</v>
      </c>
      <c r="C50" s="94" t="s">
        <v>94</v>
      </c>
      <c r="D50" s="94" t="s">
        <v>80</v>
      </c>
      <c r="E50" s="94"/>
      <c r="F50" s="93"/>
      <c r="G50" s="92">
        <f>G60+G65+G69+G51+G54+G56+G72</f>
        <v>17612</v>
      </c>
    </row>
    <row r="51" spans="1:7" ht="30">
      <c r="A51" s="96" t="s">
        <v>504</v>
      </c>
      <c r="B51" s="94" t="s">
        <v>445</v>
      </c>
      <c r="C51" s="94" t="s">
        <v>94</v>
      </c>
      <c r="D51" s="94" t="s">
        <v>80</v>
      </c>
      <c r="E51" s="94" t="s">
        <v>503</v>
      </c>
      <c r="F51" s="93"/>
      <c r="G51" s="92">
        <f>G52</f>
        <v>7776</v>
      </c>
    </row>
    <row r="52" spans="1:7" ht="30">
      <c r="A52" s="96" t="s">
        <v>125</v>
      </c>
      <c r="B52" s="94" t="s">
        <v>445</v>
      </c>
      <c r="C52" s="94" t="s">
        <v>94</v>
      </c>
      <c r="D52" s="94" t="s">
        <v>80</v>
      </c>
      <c r="E52" s="94" t="s">
        <v>502</v>
      </c>
      <c r="F52" s="93"/>
      <c r="G52" s="92">
        <f>G53</f>
        <v>7776</v>
      </c>
    </row>
    <row r="53" spans="1:7" ht="60">
      <c r="A53" s="98" t="s">
        <v>161</v>
      </c>
      <c r="B53" s="94" t="s">
        <v>445</v>
      </c>
      <c r="C53" s="94" t="s">
        <v>94</v>
      </c>
      <c r="D53" s="94" t="s">
        <v>80</v>
      </c>
      <c r="E53" s="94" t="s">
        <v>502</v>
      </c>
      <c r="F53" s="93" t="s">
        <v>159</v>
      </c>
      <c r="G53" s="92">
        <f>7699+77</f>
        <v>7776</v>
      </c>
    </row>
    <row r="54" spans="1:7" ht="30">
      <c r="A54" s="98" t="s">
        <v>149</v>
      </c>
      <c r="B54" s="94" t="s">
        <v>445</v>
      </c>
      <c r="C54" s="94" t="s">
        <v>94</v>
      </c>
      <c r="D54" s="94" t="s">
        <v>80</v>
      </c>
      <c r="E54" s="94" t="s">
        <v>501</v>
      </c>
      <c r="F54" s="93"/>
      <c r="G54" s="92">
        <f>G55</f>
        <v>243.4</v>
      </c>
    </row>
    <row r="55" spans="1:7" ht="30">
      <c r="A55" s="96" t="s">
        <v>106</v>
      </c>
      <c r="B55" s="94" t="s">
        <v>445</v>
      </c>
      <c r="C55" s="94" t="s">
        <v>94</v>
      </c>
      <c r="D55" s="94" t="s">
        <v>80</v>
      </c>
      <c r="E55" s="94" t="s">
        <v>501</v>
      </c>
      <c r="F55" s="93" t="s">
        <v>103</v>
      </c>
      <c r="G55" s="92">
        <v>243.4</v>
      </c>
    </row>
    <row r="56" spans="1:7" ht="45">
      <c r="A56" s="96" t="s">
        <v>500</v>
      </c>
      <c r="B56" s="94" t="s">
        <v>445</v>
      </c>
      <c r="C56" s="94" t="s">
        <v>94</v>
      </c>
      <c r="D56" s="94" t="s">
        <v>80</v>
      </c>
      <c r="E56" s="94" t="s">
        <v>499</v>
      </c>
      <c r="F56" s="93"/>
      <c r="G56" s="92">
        <f>G57</f>
        <v>6686.9</v>
      </c>
    </row>
    <row r="57" spans="1:7" ht="45">
      <c r="A57" s="96" t="s">
        <v>498</v>
      </c>
      <c r="B57" s="94" t="s">
        <v>445</v>
      </c>
      <c r="C57" s="94" t="s">
        <v>94</v>
      </c>
      <c r="D57" s="94" t="s">
        <v>80</v>
      </c>
      <c r="E57" s="94" t="s">
        <v>497</v>
      </c>
      <c r="F57" s="93"/>
      <c r="G57" s="92">
        <f>G58</f>
        <v>6686.9</v>
      </c>
    </row>
    <row r="58" spans="1:7" ht="45">
      <c r="A58" s="96" t="s">
        <v>452</v>
      </c>
      <c r="B58" s="94" t="s">
        <v>445</v>
      </c>
      <c r="C58" s="94" t="s">
        <v>94</v>
      </c>
      <c r="D58" s="94" t="s">
        <v>80</v>
      </c>
      <c r="E58" s="94" t="s">
        <v>497</v>
      </c>
      <c r="F58" s="93" t="s">
        <v>451</v>
      </c>
      <c r="G58" s="92">
        <f>6965-278.1</f>
        <v>6686.9</v>
      </c>
    </row>
    <row r="59" spans="1:7" ht="105">
      <c r="A59" s="99" t="s">
        <v>213</v>
      </c>
      <c r="B59" s="94" t="s">
        <v>445</v>
      </c>
      <c r="C59" s="94" t="s">
        <v>94</v>
      </c>
      <c r="D59" s="94" t="s">
        <v>80</v>
      </c>
      <c r="E59" s="94" t="s">
        <v>195</v>
      </c>
      <c r="F59" s="93"/>
      <c r="G59" s="92">
        <f>G60</f>
        <v>474.8</v>
      </c>
    </row>
    <row r="60" spans="1:7" ht="30">
      <c r="A60" s="99" t="s">
        <v>496</v>
      </c>
      <c r="B60" s="94" t="s">
        <v>445</v>
      </c>
      <c r="C60" s="94" t="s">
        <v>94</v>
      </c>
      <c r="D60" s="94" t="s">
        <v>80</v>
      </c>
      <c r="E60" s="94" t="s">
        <v>495</v>
      </c>
      <c r="F60" s="93"/>
      <c r="G60" s="92">
        <f>G61+G64+G62+G63</f>
        <v>474.8</v>
      </c>
    </row>
    <row r="61" spans="1:7" ht="15">
      <c r="A61" s="99" t="s">
        <v>124</v>
      </c>
      <c r="B61" s="94" t="s">
        <v>445</v>
      </c>
      <c r="C61" s="94" t="s">
        <v>94</v>
      </c>
      <c r="D61" s="94" t="s">
        <v>80</v>
      </c>
      <c r="E61" s="94" t="s">
        <v>495</v>
      </c>
      <c r="F61" s="93" t="s">
        <v>131</v>
      </c>
      <c r="G61" s="92">
        <v>410.7</v>
      </c>
    </row>
    <row r="62" spans="1:7" ht="30">
      <c r="A62" s="98" t="s">
        <v>122</v>
      </c>
      <c r="B62" s="94" t="s">
        <v>445</v>
      </c>
      <c r="C62" s="94" t="s">
        <v>94</v>
      </c>
      <c r="D62" s="94" t="s">
        <v>80</v>
      </c>
      <c r="E62" s="94" t="s">
        <v>495</v>
      </c>
      <c r="F62" s="93" t="s">
        <v>130</v>
      </c>
      <c r="G62" s="92">
        <v>0.5</v>
      </c>
    </row>
    <row r="63" spans="1:7" ht="30">
      <c r="A63" s="98" t="s">
        <v>120</v>
      </c>
      <c r="B63" s="94" t="s">
        <v>445</v>
      </c>
      <c r="C63" s="94" t="s">
        <v>94</v>
      </c>
      <c r="D63" s="94" t="s">
        <v>80</v>
      </c>
      <c r="E63" s="94" t="s">
        <v>495</v>
      </c>
      <c r="F63" s="93" t="s">
        <v>119</v>
      </c>
      <c r="G63" s="92">
        <f>23.3</f>
        <v>23.3</v>
      </c>
    </row>
    <row r="64" spans="1:7" ht="30">
      <c r="A64" s="96" t="s">
        <v>118</v>
      </c>
      <c r="B64" s="94" t="s">
        <v>445</v>
      </c>
      <c r="C64" s="94" t="s">
        <v>94</v>
      </c>
      <c r="D64" s="94" t="s">
        <v>80</v>
      </c>
      <c r="E64" s="94" t="s">
        <v>495</v>
      </c>
      <c r="F64" s="93" t="s">
        <v>117</v>
      </c>
      <c r="G64" s="92">
        <f>40.3</f>
        <v>40.3</v>
      </c>
    </row>
    <row r="65" spans="1:7" ht="30">
      <c r="A65" s="147" t="s">
        <v>494</v>
      </c>
      <c r="B65" s="94" t="s">
        <v>445</v>
      </c>
      <c r="C65" s="94" t="s">
        <v>94</v>
      </c>
      <c r="D65" s="94" t="s">
        <v>80</v>
      </c>
      <c r="E65" s="94" t="s">
        <v>493</v>
      </c>
      <c r="F65" s="93"/>
      <c r="G65" s="92">
        <f>G66+G68+G67</f>
        <v>506.8</v>
      </c>
    </row>
    <row r="66" spans="1:7" ht="15">
      <c r="A66" s="99" t="s">
        <v>124</v>
      </c>
      <c r="B66" s="94" t="s">
        <v>445</v>
      </c>
      <c r="C66" s="94" t="s">
        <v>94</v>
      </c>
      <c r="D66" s="94" t="s">
        <v>80</v>
      </c>
      <c r="E66" s="94" t="s">
        <v>493</v>
      </c>
      <c r="F66" s="93" t="s">
        <v>131</v>
      </c>
      <c r="G66" s="92">
        <v>448</v>
      </c>
    </row>
    <row r="67" spans="1:7" ht="30">
      <c r="A67" s="98" t="s">
        <v>120</v>
      </c>
      <c r="B67" s="94" t="s">
        <v>445</v>
      </c>
      <c r="C67" s="94" t="s">
        <v>94</v>
      </c>
      <c r="D67" s="94" t="s">
        <v>80</v>
      </c>
      <c r="E67" s="94" t="s">
        <v>493</v>
      </c>
      <c r="F67" s="93" t="s">
        <v>119</v>
      </c>
      <c r="G67" s="92">
        <v>15.7</v>
      </c>
    </row>
    <row r="68" spans="1:7" ht="30">
      <c r="A68" s="96" t="s">
        <v>118</v>
      </c>
      <c r="B68" s="94" t="s">
        <v>445</v>
      </c>
      <c r="C68" s="94" t="s">
        <v>94</v>
      </c>
      <c r="D68" s="94" t="s">
        <v>80</v>
      </c>
      <c r="E68" s="94" t="s">
        <v>493</v>
      </c>
      <c r="F68" s="93" t="s">
        <v>117</v>
      </c>
      <c r="G68" s="92">
        <v>43.1</v>
      </c>
    </row>
    <row r="69" spans="1:7" ht="30">
      <c r="A69" s="96" t="s">
        <v>111</v>
      </c>
      <c r="B69" s="94" t="s">
        <v>445</v>
      </c>
      <c r="C69" s="94" t="s">
        <v>94</v>
      </c>
      <c r="D69" s="94" t="s">
        <v>80</v>
      </c>
      <c r="E69" s="94" t="s">
        <v>110</v>
      </c>
      <c r="F69" s="93"/>
      <c r="G69" s="92">
        <f>G70</f>
        <v>202</v>
      </c>
    </row>
    <row r="70" spans="1:7" ht="60">
      <c r="A70" s="99" t="s">
        <v>492</v>
      </c>
      <c r="B70" s="94" t="s">
        <v>445</v>
      </c>
      <c r="C70" s="94" t="s">
        <v>94</v>
      </c>
      <c r="D70" s="94" t="s">
        <v>80</v>
      </c>
      <c r="E70" s="94" t="s">
        <v>491</v>
      </c>
      <c r="F70" s="93"/>
      <c r="G70" s="92">
        <f>G71</f>
        <v>202</v>
      </c>
    </row>
    <row r="71" spans="1:7" ht="30">
      <c r="A71" s="145" t="s">
        <v>106</v>
      </c>
      <c r="B71" s="94" t="s">
        <v>445</v>
      </c>
      <c r="C71" s="94" t="s">
        <v>94</v>
      </c>
      <c r="D71" s="94" t="s">
        <v>80</v>
      </c>
      <c r="E71" s="94" t="s">
        <v>491</v>
      </c>
      <c r="F71" s="93" t="s">
        <v>103</v>
      </c>
      <c r="G71" s="92">
        <f>50+152</f>
        <v>202</v>
      </c>
    </row>
    <row r="72" spans="1:7" ht="75">
      <c r="A72" s="145" t="s">
        <v>490</v>
      </c>
      <c r="B72" s="94" t="s">
        <v>445</v>
      </c>
      <c r="C72" s="94" t="s">
        <v>94</v>
      </c>
      <c r="D72" s="94" t="s">
        <v>80</v>
      </c>
      <c r="E72" s="94" t="s">
        <v>489</v>
      </c>
      <c r="F72" s="93"/>
      <c r="G72" s="92">
        <f>G73+G74</f>
        <v>1722.1</v>
      </c>
    </row>
    <row r="73" spans="1:7" ht="45">
      <c r="A73" s="96" t="s">
        <v>452</v>
      </c>
      <c r="B73" s="94" t="s">
        <v>445</v>
      </c>
      <c r="C73" s="94" t="s">
        <v>94</v>
      </c>
      <c r="D73" s="94" t="s">
        <v>80</v>
      </c>
      <c r="E73" s="94" t="s">
        <v>489</v>
      </c>
      <c r="F73" s="93" t="s">
        <v>451</v>
      </c>
      <c r="G73" s="92">
        <v>1602.1</v>
      </c>
    </row>
    <row r="74" spans="1:7" ht="30">
      <c r="A74" s="145" t="s">
        <v>106</v>
      </c>
      <c r="B74" s="94" t="s">
        <v>445</v>
      </c>
      <c r="C74" s="94" t="s">
        <v>94</v>
      </c>
      <c r="D74" s="94" t="s">
        <v>80</v>
      </c>
      <c r="E74" s="94" t="s">
        <v>489</v>
      </c>
      <c r="F74" s="93" t="s">
        <v>103</v>
      </c>
      <c r="G74" s="92">
        <v>120</v>
      </c>
    </row>
    <row r="75" spans="1:7" ht="15">
      <c r="A75" s="116" t="s">
        <v>75</v>
      </c>
      <c r="B75" s="94" t="s">
        <v>445</v>
      </c>
      <c r="C75" s="94" t="s">
        <v>78</v>
      </c>
      <c r="D75" s="94" t="s">
        <v>76</v>
      </c>
      <c r="E75" s="94"/>
      <c r="F75" s="93"/>
      <c r="G75" s="92">
        <f>G76+G79</f>
        <v>65</v>
      </c>
    </row>
    <row r="76" spans="1:7" ht="30">
      <c r="A76" s="96" t="s">
        <v>111</v>
      </c>
      <c r="B76" s="94" t="s">
        <v>445</v>
      </c>
      <c r="C76" s="94" t="s">
        <v>78</v>
      </c>
      <c r="D76" s="94" t="s">
        <v>76</v>
      </c>
      <c r="E76" s="94" t="s">
        <v>110</v>
      </c>
      <c r="F76" s="93"/>
      <c r="G76" s="92">
        <f>G77</f>
        <v>50</v>
      </c>
    </row>
    <row r="77" spans="1:7" ht="45">
      <c r="A77" s="116" t="s">
        <v>488</v>
      </c>
      <c r="B77" s="94" t="s">
        <v>445</v>
      </c>
      <c r="C77" s="94" t="s">
        <v>78</v>
      </c>
      <c r="D77" s="94" t="s">
        <v>76</v>
      </c>
      <c r="E77" s="100" t="s">
        <v>487</v>
      </c>
      <c r="F77" s="93"/>
      <c r="G77" s="92">
        <v>50</v>
      </c>
    </row>
    <row r="78" spans="1:7" ht="30">
      <c r="A78" s="96" t="s">
        <v>118</v>
      </c>
      <c r="B78" s="94" t="s">
        <v>445</v>
      </c>
      <c r="C78" s="94" t="s">
        <v>78</v>
      </c>
      <c r="D78" s="94" t="s">
        <v>76</v>
      </c>
      <c r="E78" s="100" t="s">
        <v>487</v>
      </c>
      <c r="F78" s="93" t="s">
        <v>117</v>
      </c>
      <c r="G78" s="92">
        <v>50</v>
      </c>
    </row>
    <row r="79" spans="1:7" ht="60">
      <c r="A79" s="96" t="s">
        <v>486</v>
      </c>
      <c r="B79" s="94" t="s">
        <v>445</v>
      </c>
      <c r="C79" s="94" t="s">
        <v>78</v>
      </c>
      <c r="D79" s="94" t="s">
        <v>76</v>
      </c>
      <c r="E79" s="100" t="s">
        <v>485</v>
      </c>
      <c r="F79" s="93"/>
      <c r="G79" s="92">
        <f>G80</f>
        <v>15</v>
      </c>
    </row>
    <row r="80" spans="1:7" ht="30">
      <c r="A80" s="96" t="s">
        <v>118</v>
      </c>
      <c r="B80" s="94" t="s">
        <v>445</v>
      </c>
      <c r="C80" s="94" t="s">
        <v>78</v>
      </c>
      <c r="D80" s="94" t="s">
        <v>76</v>
      </c>
      <c r="E80" s="100" t="s">
        <v>485</v>
      </c>
      <c r="F80" s="93" t="s">
        <v>117</v>
      </c>
      <c r="G80" s="92">
        <v>15</v>
      </c>
    </row>
    <row r="81" spans="1:7" ht="15">
      <c r="A81" s="96" t="s">
        <v>175</v>
      </c>
      <c r="B81" s="94" t="s">
        <v>445</v>
      </c>
      <c r="C81" s="94" t="s">
        <v>72</v>
      </c>
      <c r="D81" s="94"/>
      <c r="E81" s="94"/>
      <c r="F81" s="93"/>
      <c r="G81" s="92">
        <f>G93+G85+G83</f>
        <v>32194.100000000006</v>
      </c>
    </row>
    <row r="82" spans="1:7" ht="15.75">
      <c r="A82" s="146" t="s">
        <v>69</v>
      </c>
      <c r="B82" s="94" t="s">
        <v>445</v>
      </c>
      <c r="C82" s="94" t="s">
        <v>72</v>
      </c>
      <c r="D82" s="94" t="s">
        <v>70</v>
      </c>
      <c r="E82" s="94"/>
      <c r="F82" s="93"/>
      <c r="G82" s="92">
        <f>G83</f>
        <v>250</v>
      </c>
    </row>
    <row r="83" spans="1:7" ht="45">
      <c r="A83" s="99" t="s">
        <v>484</v>
      </c>
      <c r="B83" s="106" t="s">
        <v>445</v>
      </c>
      <c r="C83" s="94" t="s">
        <v>72</v>
      </c>
      <c r="D83" s="94" t="s">
        <v>70</v>
      </c>
      <c r="E83" s="100" t="s">
        <v>483</v>
      </c>
      <c r="F83" s="93"/>
      <c r="G83" s="92">
        <f>G84</f>
        <v>250</v>
      </c>
    </row>
    <row r="84" spans="1:7" ht="45">
      <c r="A84" s="134" t="s">
        <v>412</v>
      </c>
      <c r="B84" s="106" t="s">
        <v>445</v>
      </c>
      <c r="C84" s="94" t="s">
        <v>72</v>
      </c>
      <c r="D84" s="94" t="s">
        <v>70</v>
      </c>
      <c r="E84" s="100" t="s">
        <v>483</v>
      </c>
      <c r="F84" s="93" t="s">
        <v>349</v>
      </c>
      <c r="G84" s="92">
        <v>250</v>
      </c>
    </row>
    <row r="85" spans="1:7" ht="15">
      <c r="A85" s="116" t="s">
        <v>405</v>
      </c>
      <c r="B85" s="106" t="s">
        <v>445</v>
      </c>
      <c r="C85" s="106" t="s">
        <v>72</v>
      </c>
      <c r="D85" s="106" t="s">
        <v>64</v>
      </c>
      <c r="E85" s="94"/>
      <c r="F85" s="93"/>
      <c r="G85" s="92">
        <f>G86+G90</f>
        <v>20928.600000000002</v>
      </c>
    </row>
    <row r="86" spans="1:7" ht="30">
      <c r="A86" s="96" t="s">
        <v>111</v>
      </c>
      <c r="B86" s="94" t="s">
        <v>445</v>
      </c>
      <c r="C86" s="94" t="s">
        <v>72</v>
      </c>
      <c r="D86" s="94" t="s">
        <v>64</v>
      </c>
      <c r="E86" s="94" t="s">
        <v>110</v>
      </c>
      <c r="F86" s="93"/>
      <c r="G86" s="92">
        <f>G87</f>
        <v>19778.7</v>
      </c>
    </row>
    <row r="87" spans="1:7" ht="30">
      <c r="A87" s="145" t="s">
        <v>482</v>
      </c>
      <c r="B87" s="94" t="s">
        <v>445</v>
      </c>
      <c r="C87" s="106" t="s">
        <v>72</v>
      </c>
      <c r="D87" s="106" t="s">
        <v>64</v>
      </c>
      <c r="E87" s="94" t="s">
        <v>401</v>
      </c>
      <c r="F87" s="93"/>
      <c r="G87" s="92">
        <f>G89+G88</f>
        <v>19778.7</v>
      </c>
    </row>
    <row r="88" spans="1:7" ht="30">
      <c r="A88" s="96" t="s">
        <v>118</v>
      </c>
      <c r="B88" s="94" t="s">
        <v>445</v>
      </c>
      <c r="C88" s="106" t="s">
        <v>72</v>
      </c>
      <c r="D88" s="106" t="s">
        <v>64</v>
      </c>
      <c r="E88" s="94" t="s">
        <v>401</v>
      </c>
      <c r="F88" s="93" t="s">
        <v>117</v>
      </c>
      <c r="G88" s="92">
        <v>1600</v>
      </c>
    </row>
    <row r="89" spans="1:7" ht="45">
      <c r="A89" s="96" t="s">
        <v>452</v>
      </c>
      <c r="B89" s="94" t="s">
        <v>445</v>
      </c>
      <c r="C89" s="106" t="s">
        <v>72</v>
      </c>
      <c r="D89" s="106" t="s">
        <v>64</v>
      </c>
      <c r="E89" s="94" t="s">
        <v>401</v>
      </c>
      <c r="F89" s="93" t="s">
        <v>451</v>
      </c>
      <c r="G89" s="92">
        <f>7000-1250+82.1+12346.6</f>
        <v>18178.7</v>
      </c>
    </row>
    <row r="90" spans="1:7" ht="45">
      <c r="A90" s="96" t="s">
        <v>481</v>
      </c>
      <c r="B90" s="94" t="s">
        <v>445</v>
      </c>
      <c r="C90" s="106" t="s">
        <v>72</v>
      </c>
      <c r="D90" s="106" t="s">
        <v>64</v>
      </c>
      <c r="E90" s="94" t="s">
        <v>397</v>
      </c>
      <c r="F90" s="93"/>
      <c r="G90" s="92">
        <f>G91+G92</f>
        <v>1149.9</v>
      </c>
    </row>
    <row r="91" spans="1:7" ht="30">
      <c r="A91" s="96" t="s">
        <v>118</v>
      </c>
      <c r="B91" s="94" t="s">
        <v>445</v>
      </c>
      <c r="C91" s="106" t="s">
        <v>72</v>
      </c>
      <c r="D91" s="106" t="s">
        <v>64</v>
      </c>
      <c r="E91" s="94" t="s">
        <v>397</v>
      </c>
      <c r="F91" s="93" t="s">
        <v>117</v>
      </c>
      <c r="G91" s="92">
        <v>113.5</v>
      </c>
    </row>
    <row r="92" spans="1:7" ht="45">
      <c r="A92" s="96" t="s">
        <v>452</v>
      </c>
      <c r="B92" s="94" t="s">
        <v>445</v>
      </c>
      <c r="C92" s="106" t="s">
        <v>72</v>
      </c>
      <c r="D92" s="106" t="s">
        <v>64</v>
      </c>
      <c r="E92" s="94" t="s">
        <v>397</v>
      </c>
      <c r="F92" s="93" t="s">
        <v>451</v>
      </c>
      <c r="G92" s="92">
        <v>1036.4</v>
      </c>
    </row>
    <row r="93" spans="1:7" ht="30">
      <c r="A93" s="96" t="s">
        <v>61</v>
      </c>
      <c r="B93" s="94" t="s">
        <v>445</v>
      </c>
      <c r="C93" s="94" t="s">
        <v>72</v>
      </c>
      <c r="D93" s="94" t="s">
        <v>62</v>
      </c>
      <c r="E93" s="94"/>
      <c r="F93" s="93"/>
      <c r="G93" s="92">
        <f>G94+G105+G111+G97+G115+G107</f>
        <v>11015.500000000002</v>
      </c>
    </row>
    <row r="94" spans="1:7" ht="30">
      <c r="A94" s="96" t="s">
        <v>480</v>
      </c>
      <c r="B94" s="94" t="s">
        <v>445</v>
      </c>
      <c r="C94" s="94" t="s">
        <v>72</v>
      </c>
      <c r="D94" s="94" t="s">
        <v>62</v>
      </c>
      <c r="E94" s="94" t="s">
        <v>479</v>
      </c>
      <c r="F94" s="93"/>
      <c r="G94" s="92">
        <f>G96+G95</f>
        <v>1492.7</v>
      </c>
    </row>
    <row r="95" spans="1:7" ht="30">
      <c r="A95" s="98" t="s">
        <v>120</v>
      </c>
      <c r="B95" s="94" t="s">
        <v>445</v>
      </c>
      <c r="C95" s="94" t="s">
        <v>72</v>
      </c>
      <c r="D95" s="94" t="s">
        <v>62</v>
      </c>
      <c r="E95" s="94" t="s">
        <v>479</v>
      </c>
      <c r="F95" s="93" t="s">
        <v>119</v>
      </c>
      <c r="G95" s="92">
        <f>97.7+100</f>
        <v>197.7</v>
      </c>
    </row>
    <row r="96" spans="1:7" ht="30">
      <c r="A96" s="96" t="s">
        <v>118</v>
      </c>
      <c r="B96" s="94" t="s">
        <v>445</v>
      </c>
      <c r="C96" s="94" t="s">
        <v>72</v>
      </c>
      <c r="D96" s="94" t="s">
        <v>62</v>
      </c>
      <c r="E96" s="94" t="s">
        <v>479</v>
      </c>
      <c r="F96" s="93" t="s">
        <v>117</v>
      </c>
      <c r="G96" s="92">
        <f>1425-500+370</f>
        <v>1295</v>
      </c>
    </row>
    <row r="97" spans="1:7" ht="30">
      <c r="A97" s="96" t="s">
        <v>125</v>
      </c>
      <c r="B97" s="94" t="s">
        <v>445</v>
      </c>
      <c r="C97" s="94" t="s">
        <v>72</v>
      </c>
      <c r="D97" s="94" t="s">
        <v>62</v>
      </c>
      <c r="E97" s="94" t="s">
        <v>478</v>
      </c>
      <c r="F97" s="93"/>
      <c r="G97" s="92">
        <f>G98+G99+G100+G101+G102+G103</f>
        <v>6569.1</v>
      </c>
    </row>
    <row r="98" spans="1:7" ht="15">
      <c r="A98" s="98" t="s">
        <v>124</v>
      </c>
      <c r="B98" s="94" t="s">
        <v>445</v>
      </c>
      <c r="C98" s="94" t="s">
        <v>72</v>
      </c>
      <c r="D98" s="94" t="s">
        <v>62</v>
      </c>
      <c r="E98" s="94" t="s">
        <v>478</v>
      </c>
      <c r="F98" s="93" t="s">
        <v>123</v>
      </c>
      <c r="G98" s="92">
        <f>5682.3+78-76</f>
        <v>5684.3</v>
      </c>
    </row>
    <row r="99" spans="1:7" ht="30">
      <c r="A99" s="98" t="s">
        <v>122</v>
      </c>
      <c r="B99" s="94" t="s">
        <v>445</v>
      </c>
      <c r="C99" s="94" t="s">
        <v>72</v>
      </c>
      <c r="D99" s="94" t="s">
        <v>62</v>
      </c>
      <c r="E99" s="94" t="s">
        <v>478</v>
      </c>
      <c r="F99" s="93" t="s">
        <v>121</v>
      </c>
      <c r="G99" s="92">
        <v>2.5</v>
      </c>
    </row>
    <row r="100" spans="1:7" ht="30">
      <c r="A100" s="98" t="s">
        <v>120</v>
      </c>
      <c r="B100" s="94" t="s">
        <v>445</v>
      </c>
      <c r="C100" s="94" t="s">
        <v>72</v>
      </c>
      <c r="D100" s="94" t="s">
        <v>62</v>
      </c>
      <c r="E100" s="94" t="s">
        <v>478</v>
      </c>
      <c r="F100" s="93" t="s">
        <v>119</v>
      </c>
      <c r="G100" s="92">
        <f>341.2+143.8+30</f>
        <v>515</v>
      </c>
    </row>
    <row r="101" spans="1:7" ht="30">
      <c r="A101" s="96" t="s">
        <v>118</v>
      </c>
      <c r="B101" s="94" t="s">
        <v>445</v>
      </c>
      <c r="C101" s="94" t="s">
        <v>72</v>
      </c>
      <c r="D101" s="94" t="s">
        <v>62</v>
      </c>
      <c r="E101" s="94" t="s">
        <v>478</v>
      </c>
      <c r="F101" s="93" t="s">
        <v>117</v>
      </c>
      <c r="G101" s="92">
        <f>307+43.7-109.4</f>
        <v>241.29999999999998</v>
      </c>
    </row>
    <row r="102" spans="1:7" ht="30">
      <c r="A102" s="98" t="s">
        <v>129</v>
      </c>
      <c r="B102" s="94" t="s">
        <v>445</v>
      </c>
      <c r="C102" s="94" t="s">
        <v>72</v>
      </c>
      <c r="D102" s="94" t="s">
        <v>62</v>
      </c>
      <c r="E102" s="94" t="s">
        <v>478</v>
      </c>
      <c r="F102" s="93" t="s">
        <v>128</v>
      </c>
      <c r="G102" s="92">
        <v>75</v>
      </c>
    </row>
    <row r="103" spans="1:7" ht="30">
      <c r="A103" s="98" t="s">
        <v>116</v>
      </c>
      <c r="B103" s="94" t="s">
        <v>445</v>
      </c>
      <c r="C103" s="94" t="s">
        <v>72</v>
      </c>
      <c r="D103" s="94" t="s">
        <v>62</v>
      </c>
      <c r="E103" s="94" t="s">
        <v>478</v>
      </c>
      <c r="F103" s="93" t="s">
        <v>114</v>
      </c>
      <c r="G103" s="92">
        <f>1+50</f>
        <v>51</v>
      </c>
    </row>
    <row r="104" spans="1:7" ht="30">
      <c r="A104" s="96" t="s">
        <v>477</v>
      </c>
      <c r="B104" s="94" t="s">
        <v>445</v>
      </c>
      <c r="C104" s="94" t="s">
        <v>72</v>
      </c>
      <c r="D104" s="94" t="s">
        <v>62</v>
      </c>
      <c r="E104" s="94" t="s">
        <v>476</v>
      </c>
      <c r="F104" s="93"/>
      <c r="G104" s="92">
        <f>G105</f>
        <v>1590.1</v>
      </c>
    </row>
    <row r="105" spans="1:7" ht="30">
      <c r="A105" s="96" t="s">
        <v>475</v>
      </c>
      <c r="B105" s="94" t="s">
        <v>445</v>
      </c>
      <c r="C105" s="94" t="s">
        <v>72</v>
      </c>
      <c r="D105" s="94" t="s">
        <v>62</v>
      </c>
      <c r="E105" s="94" t="s">
        <v>474</v>
      </c>
      <c r="F105" s="93"/>
      <c r="G105" s="92">
        <f>G106</f>
        <v>1590.1</v>
      </c>
    </row>
    <row r="106" spans="1:7" ht="30">
      <c r="A106" s="96" t="s">
        <v>118</v>
      </c>
      <c r="B106" s="94" t="s">
        <v>445</v>
      </c>
      <c r="C106" s="94" t="s">
        <v>72</v>
      </c>
      <c r="D106" s="94" t="s">
        <v>62</v>
      </c>
      <c r="E106" s="94" t="s">
        <v>474</v>
      </c>
      <c r="F106" s="93" t="s">
        <v>117</v>
      </c>
      <c r="G106" s="92">
        <f>2200+57.1-1000+333</f>
        <v>1590.1</v>
      </c>
    </row>
    <row r="107" spans="1:7" ht="90">
      <c r="A107" s="96" t="s">
        <v>473</v>
      </c>
      <c r="B107" s="94" t="s">
        <v>445</v>
      </c>
      <c r="C107" s="94" t="s">
        <v>72</v>
      </c>
      <c r="D107" s="94" t="s">
        <v>62</v>
      </c>
      <c r="E107" s="94" t="s">
        <v>472</v>
      </c>
      <c r="F107" s="93"/>
      <c r="G107" s="92">
        <f>G108</f>
        <v>192.1</v>
      </c>
    </row>
    <row r="108" spans="1:7" ht="45">
      <c r="A108" s="96" t="s">
        <v>471</v>
      </c>
      <c r="B108" s="94" t="s">
        <v>445</v>
      </c>
      <c r="C108" s="94" t="s">
        <v>72</v>
      </c>
      <c r="D108" s="94" t="s">
        <v>62</v>
      </c>
      <c r="E108" s="94" t="s">
        <v>470</v>
      </c>
      <c r="F108" s="93"/>
      <c r="G108" s="92">
        <f>G109+G110</f>
        <v>192.1</v>
      </c>
    </row>
    <row r="109" spans="1:7" ht="30">
      <c r="A109" s="96" t="s">
        <v>118</v>
      </c>
      <c r="B109" s="94" t="s">
        <v>445</v>
      </c>
      <c r="C109" s="94" t="s">
        <v>72</v>
      </c>
      <c r="D109" s="94" t="s">
        <v>62</v>
      </c>
      <c r="E109" s="94" t="s">
        <v>470</v>
      </c>
      <c r="F109" s="93" t="s">
        <v>117</v>
      </c>
      <c r="G109" s="92">
        <v>22</v>
      </c>
    </row>
    <row r="110" spans="1:7" ht="45">
      <c r="A110" s="134" t="s">
        <v>412</v>
      </c>
      <c r="B110" s="94" t="s">
        <v>445</v>
      </c>
      <c r="C110" s="94" t="s">
        <v>72</v>
      </c>
      <c r="D110" s="94" t="s">
        <v>62</v>
      </c>
      <c r="E110" s="94" t="s">
        <v>470</v>
      </c>
      <c r="F110" s="93" t="s">
        <v>349</v>
      </c>
      <c r="G110" s="92">
        <v>170.1</v>
      </c>
    </row>
    <row r="111" spans="1:7" ht="30">
      <c r="A111" s="96" t="s">
        <v>111</v>
      </c>
      <c r="B111" s="94" t="s">
        <v>445</v>
      </c>
      <c r="C111" s="94" t="s">
        <v>72</v>
      </c>
      <c r="D111" s="94" t="s">
        <v>62</v>
      </c>
      <c r="E111" s="94" t="s">
        <v>110</v>
      </c>
      <c r="F111" s="93"/>
      <c r="G111" s="92">
        <f>G112</f>
        <v>500</v>
      </c>
    </row>
    <row r="112" spans="1:7" ht="45">
      <c r="A112" s="96" t="s">
        <v>469</v>
      </c>
      <c r="B112" s="94" t="s">
        <v>445</v>
      </c>
      <c r="C112" s="94" t="s">
        <v>72</v>
      </c>
      <c r="D112" s="94" t="s">
        <v>62</v>
      </c>
      <c r="E112" s="100" t="s">
        <v>468</v>
      </c>
      <c r="F112" s="93"/>
      <c r="G112" s="92">
        <f>G113+G114</f>
        <v>500</v>
      </c>
    </row>
    <row r="113" spans="1:7" ht="30">
      <c r="A113" s="96" t="s">
        <v>118</v>
      </c>
      <c r="B113" s="106" t="s">
        <v>445</v>
      </c>
      <c r="C113" s="94" t="s">
        <v>72</v>
      </c>
      <c r="D113" s="94" t="s">
        <v>62</v>
      </c>
      <c r="E113" s="100" t="s">
        <v>468</v>
      </c>
      <c r="F113" s="93" t="s">
        <v>117</v>
      </c>
      <c r="G113" s="92">
        <v>400</v>
      </c>
    </row>
    <row r="114" spans="1:7" ht="45">
      <c r="A114" s="134" t="s">
        <v>412</v>
      </c>
      <c r="B114" s="106" t="s">
        <v>445</v>
      </c>
      <c r="C114" s="94" t="s">
        <v>72</v>
      </c>
      <c r="D114" s="94" t="s">
        <v>62</v>
      </c>
      <c r="E114" s="100" t="s">
        <v>468</v>
      </c>
      <c r="F114" s="93" t="s">
        <v>349</v>
      </c>
      <c r="G114" s="92">
        <f>3100-3000</f>
        <v>100</v>
      </c>
    </row>
    <row r="115" spans="1:7" ht="60">
      <c r="A115" s="96" t="s">
        <v>174</v>
      </c>
      <c r="B115" s="106" t="s">
        <v>445</v>
      </c>
      <c r="C115" s="94" t="s">
        <v>72</v>
      </c>
      <c r="D115" s="94" t="s">
        <v>62</v>
      </c>
      <c r="E115" s="100" t="s">
        <v>173</v>
      </c>
      <c r="F115" s="93"/>
      <c r="G115" s="92">
        <f>G116+G117</f>
        <v>671.5</v>
      </c>
    </row>
    <row r="116" spans="1:7" ht="30">
      <c r="A116" s="96" t="s">
        <v>118</v>
      </c>
      <c r="B116" s="106" t="s">
        <v>445</v>
      </c>
      <c r="C116" s="94" t="s">
        <v>72</v>
      </c>
      <c r="D116" s="94" t="s">
        <v>62</v>
      </c>
      <c r="E116" s="100" t="s">
        <v>173</v>
      </c>
      <c r="F116" s="93" t="s">
        <v>117</v>
      </c>
      <c r="G116" s="92">
        <v>623.8</v>
      </c>
    </row>
    <row r="117" spans="1:7" ht="45">
      <c r="A117" s="134" t="s">
        <v>412</v>
      </c>
      <c r="B117" s="106" t="s">
        <v>445</v>
      </c>
      <c r="C117" s="94" t="s">
        <v>72</v>
      </c>
      <c r="D117" s="94" t="s">
        <v>62</v>
      </c>
      <c r="E117" s="100" t="s">
        <v>173</v>
      </c>
      <c r="F117" s="93" t="s">
        <v>349</v>
      </c>
      <c r="G117" s="92">
        <v>47.7</v>
      </c>
    </row>
    <row r="118" spans="1:7" ht="15">
      <c r="A118" s="96" t="s">
        <v>334</v>
      </c>
      <c r="B118" s="106" t="s">
        <v>445</v>
      </c>
      <c r="C118" s="94" t="s">
        <v>60</v>
      </c>
      <c r="D118" s="94"/>
      <c r="E118" s="94"/>
      <c r="F118" s="93"/>
      <c r="G118" s="92">
        <f>G119</f>
        <v>50108.100000000006</v>
      </c>
    </row>
    <row r="119" spans="1:7" ht="15">
      <c r="A119" s="96" t="s">
        <v>57</v>
      </c>
      <c r="B119" s="106" t="s">
        <v>445</v>
      </c>
      <c r="C119" s="94" t="s">
        <v>60</v>
      </c>
      <c r="D119" s="94" t="s">
        <v>58</v>
      </c>
      <c r="E119" s="94"/>
      <c r="F119" s="93"/>
      <c r="G119" s="92">
        <f>G126+G120+G122+G125</f>
        <v>50108.100000000006</v>
      </c>
    </row>
    <row r="120" spans="1:7" ht="105">
      <c r="A120" s="144" t="s">
        <v>467</v>
      </c>
      <c r="B120" s="94" t="s">
        <v>445</v>
      </c>
      <c r="C120" s="94" t="s">
        <v>60</v>
      </c>
      <c r="D120" s="94" t="s">
        <v>58</v>
      </c>
      <c r="E120" s="94" t="s">
        <v>466</v>
      </c>
      <c r="F120" s="94"/>
      <c r="G120" s="92">
        <f>G121</f>
        <v>33782.9</v>
      </c>
    </row>
    <row r="121" spans="1:7" ht="45">
      <c r="A121" s="96" t="s">
        <v>452</v>
      </c>
      <c r="B121" s="94" t="s">
        <v>445</v>
      </c>
      <c r="C121" s="94" t="s">
        <v>60</v>
      </c>
      <c r="D121" s="94" t="s">
        <v>58</v>
      </c>
      <c r="E121" s="94" t="s">
        <v>466</v>
      </c>
      <c r="F121" s="94" t="s">
        <v>451</v>
      </c>
      <c r="G121" s="92">
        <v>33782.9</v>
      </c>
    </row>
    <row r="122" spans="1:7" ht="75">
      <c r="A122" s="144" t="s">
        <v>465</v>
      </c>
      <c r="B122" s="94" t="s">
        <v>445</v>
      </c>
      <c r="C122" s="94" t="s">
        <v>60</v>
      </c>
      <c r="D122" s="94" t="s">
        <v>58</v>
      </c>
      <c r="E122" s="94" t="s">
        <v>464</v>
      </c>
      <c r="F122" s="94"/>
      <c r="G122" s="92">
        <f>G123</f>
        <v>12596.7</v>
      </c>
    </row>
    <row r="123" spans="1:7" ht="45">
      <c r="A123" s="96" t="s">
        <v>452</v>
      </c>
      <c r="B123" s="94" t="s">
        <v>445</v>
      </c>
      <c r="C123" s="94" t="s">
        <v>60</v>
      </c>
      <c r="D123" s="94" t="s">
        <v>58</v>
      </c>
      <c r="E123" s="94" t="s">
        <v>464</v>
      </c>
      <c r="F123" s="94" t="s">
        <v>451</v>
      </c>
      <c r="G123" s="92">
        <v>12596.7</v>
      </c>
    </row>
    <row r="124" spans="1:7" ht="45">
      <c r="A124" s="96" t="s">
        <v>392</v>
      </c>
      <c r="B124" s="94" t="s">
        <v>445</v>
      </c>
      <c r="C124" s="94" t="s">
        <v>60</v>
      </c>
      <c r="D124" s="94" t="s">
        <v>58</v>
      </c>
      <c r="E124" s="94" t="s">
        <v>391</v>
      </c>
      <c r="F124" s="93"/>
      <c r="G124" s="92">
        <f>G125</f>
        <v>3410.5</v>
      </c>
    </row>
    <row r="125" spans="1:7" ht="45">
      <c r="A125" s="96" t="s">
        <v>452</v>
      </c>
      <c r="B125" s="94" t="s">
        <v>445</v>
      </c>
      <c r="C125" s="94" t="s">
        <v>60</v>
      </c>
      <c r="D125" s="94" t="s">
        <v>58</v>
      </c>
      <c r="E125" s="94" t="s">
        <v>391</v>
      </c>
      <c r="F125" s="131" t="s">
        <v>451</v>
      </c>
      <c r="G125" s="92">
        <v>3410.5</v>
      </c>
    </row>
    <row r="126" spans="1:7" ht="75">
      <c r="A126" s="133" t="s">
        <v>463</v>
      </c>
      <c r="B126" s="132" t="s">
        <v>445</v>
      </c>
      <c r="C126" s="132" t="s">
        <v>60</v>
      </c>
      <c r="D126" s="132" t="s">
        <v>58</v>
      </c>
      <c r="E126" s="132" t="s">
        <v>462</v>
      </c>
      <c r="F126" s="93"/>
      <c r="G126" s="92">
        <f>G127</f>
        <v>318</v>
      </c>
    </row>
    <row r="127" spans="1:7" ht="45">
      <c r="A127" s="96" t="s">
        <v>452</v>
      </c>
      <c r="B127" s="132" t="s">
        <v>445</v>
      </c>
      <c r="C127" s="132" t="s">
        <v>60</v>
      </c>
      <c r="D127" s="132" t="s">
        <v>58</v>
      </c>
      <c r="E127" s="132" t="s">
        <v>462</v>
      </c>
      <c r="F127" s="131" t="s">
        <v>451</v>
      </c>
      <c r="G127" s="92">
        <v>318</v>
      </c>
    </row>
    <row r="128" spans="1:7" ht="15">
      <c r="A128" s="96" t="s">
        <v>172</v>
      </c>
      <c r="B128" s="94" t="s">
        <v>445</v>
      </c>
      <c r="C128" s="94" t="s">
        <v>46</v>
      </c>
      <c r="D128" s="94"/>
      <c r="E128" s="94"/>
      <c r="F128" s="93"/>
      <c r="G128" s="92">
        <f>G129</f>
        <v>3941.2999999999997</v>
      </c>
    </row>
    <row r="129" spans="1:7" ht="15">
      <c r="A129" s="96" t="s">
        <v>41</v>
      </c>
      <c r="B129" s="94" t="s">
        <v>445</v>
      </c>
      <c r="C129" s="94" t="s">
        <v>46</v>
      </c>
      <c r="D129" s="94" t="s">
        <v>38</v>
      </c>
      <c r="E129" s="94"/>
      <c r="F129" s="93"/>
      <c r="G129" s="92">
        <f>G130+G138+G135</f>
        <v>3941.2999999999997</v>
      </c>
    </row>
    <row r="130" spans="1:7" ht="30">
      <c r="A130" s="143" t="s">
        <v>461</v>
      </c>
      <c r="B130" s="94" t="s">
        <v>445</v>
      </c>
      <c r="C130" s="94" t="s">
        <v>46</v>
      </c>
      <c r="D130" s="94" t="s">
        <v>38</v>
      </c>
      <c r="E130" s="94" t="s">
        <v>460</v>
      </c>
      <c r="F130" s="93"/>
      <c r="G130" s="92">
        <f>G131+G133+G134+G132</f>
        <v>1487.4999999999998</v>
      </c>
    </row>
    <row r="131" spans="1:7" ht="15">
      <c r="A131" s="99" t="s">
        <v>124</v>
      </c>
      <c r="B131" s="94" t="s">
        <v>445</v>
      </c>
      <c r="C131" s="94" t="s">
        <v>46</v>
      </c>
      <c r="D131" s="94" t="s">
        <v>38</v>
      </c>
      <c r="E131" s="94" t="s">
        <v>460</v>
      </c>
      <c r="F131" s="93" t="s">
        <v>131</v>
      </c>
      <c r="G131" s="92">
        <v>896</v>
      </c>
    </row>
    <row r="132" spans="1:7" ht="30">
      <c r="A132" s="98" t="s">
        <v>122</v>
      </c>
      <c r="B132" s="94" t="s">
        <v>445</v>
      </c>
      <c r="C132" s="94" t="s">
        <v>46</v>
      </c>
      <c r="D132" s="94" t="s">
        <v>38</v>
      </c>
      <c r="E132" s="94" t="s">
        <v>460</v>
      </c>
      <c r="F132" s="93" t="s">
        <v>130</v>
      </c>
      <c r="G132" s="92">
        <v>4.8</v>
      </c>
    </row>
    <row r="133" spans="1:7" ht="30">
      <c r="A133" s="98" t="s">
        <v>120</v>
      </c>
      <c r="B133" s="94" t="s">
        <v>445</v>
      </c>
      <c r="C133" s="94" t="s">
        <v>46</v>
      </c>
      <c r="D133" s="94" t="s">
        <v>38</v>
      </c>
      <c r="E133" s="94" t="s">
        <v>460</v>
      </c>
      <c r="F133" s="93" t="s">
        <v>119</v>
      </c>
      <c r="G133" s="92">
        <v>285.1</v>
      </c>
    </row>
    <row r="134" spans="1:7" ht="30">
      <c r="A134" s="96" t="s">
        <v>118</v>
      </c>
      <c r="B134" s="94" t="s">
        <v>445</v>
      </c>
      <c r="C134" s="94" t="s">
        <v>46</v>
      </c>
      <c r="D134" s="94" t="s">
        <v>38</v>
      </c>
      <c r="E134" s="94" t="s">
        <v>460</v>
      </c>
      <c r="F134" s="93" t="s">
        <v>117</v>
      </c>
      <c r="G134" s="92">
        <v>301.6</v>
      </c>
    </row>
    <row r="135" spans="1:7" ht="30">
      <c r="A135" s="140" t="s">
        <v>459</v>
      </c>
      <c r="B135" s="94" t="s">
        <v>445</v>
      </c>
      <c r="C135" s="94" t="s">
        <v>46</v>
      </c>
      <c r="D135" s="94" t="s">
        <v>38</v>
      </c>
      <c r="E135" s="94" t="s">
        <v>240</v>
      </c>
      <c r="F135" s="93"/>
      <c r="G135" s="92">
        <f>G136</f>
        <v>417</v>
      </c>
    </row>
    <row r="136" spans="1:7" ht="30">
      <c r="A136" s="118" t="s">
        <v>241</v>
      </c>
      <c r="B136" s="94" t="s">
        <v>445</v>
      </c>
      <c r="C136" s="94" t="s">
        <v>46</v>
      </c>
      <c r="D136" s="94" t="s">
        <v>38</v>
      </c>
      <c r="E136" s="94" t="s">
        <v>240</v>
      </c>
      <c r="F136" s="93"/>
      <c r="G136" s="92">
        <v>417</v>
      </c>
    </row>
    <row r="137" spans="1:7" ht="30">
      <c r="A137" s="96" t="s">
        <v>118</v>
      </c>
      <c r="B137" s="94" t="s">
        <v>445</v>
      </c>
      <c r="C137" s="94" t="s">
        <v>46</v>
      </c>
      <c r="D137" s="94" t="s">
        <v>38</v>
      </c>
      <c r="E137" s="94" t="s">
        <v>240</v>
      </c>
      <c r="F137" s="93" t="s">
        <v>117</v>
      </c>
      <c r="G137" s="92">
        <v>417</v>
      </c>
    </row>
    <row r="138" spans="1:7" ht="45">
      <c r="A138" s="140" t="s">
        <v>458</v>
      </c>
      <c r="B138" s="94" t="s">
        <v>445</v>
      </c>
      <c r="C138" s="94" t="s">
        <v>46</v>
      </c>
      <c r="D138" s="94" t="s">
        <v>38</v>
      </c>
      <c r="E138" s="94" t="s">
        <v>231</v>
      </c>
      <c r="F138" s="93"/>
      <c r="G138" s="92">
        <f>G139</f>
        <v>2036.8</v>
      </c>
    </row>
    <row r="139" spans="1:7" ht="30">
      <c r="A139" s="118" t="s">
        <v>241</v>
      </c>
      <c r="B139" s="94" t="s">
        <v>445</v>
      </c>
      <c r="C139" s="94" t="s">
        <v>46</v>
      </c>
      <c r="D139" s="94" t="s">
        <v>38</v>
      </c>
      <c r="E139" s="94" t="s">
        <v>217</v>
      </c>
      <c r="F139" s="93"/>
      <c r="G139" s="92">
        <f>G140</f>
        <v>2036.8</v>
      </c>
    </row>
    <row r="140" spans="1:7" ht="30">
      <c r="A140" s="96" t="s">
        <v>118</v>
      </c>
      <c r="B140" s="94" t="s">
        <v>445</v>
      </c>
      <c r="C140" s="94" t="s">
        <v>46</v>
      </c>
      <c r="D140" s="94" t="s">
        <v>38</v>
      </c>
      <c r="E140" s="94" t="s">
        <v>217</v>
      </c>
      <c r="F140" s="93" t="s">
        <v>117</v>
      </c>
      <c r="G140" s="92">
        <v>2036.8</v>
      </c>
    </row>
    <row r="141" spans="1:7" ht="15">
      <c r="A141" s="98" t="s">
        <v>167</v>
      </c>
      <c r="B141" s="94" t="s">
        <v>445</v>
      </c>
      <c r="C141" s="94" t="s">
        <v>36</v>
      </c>
      <c r="D141" s="94"/>
      <c r="E141" s="94"/>
      <c r="F141" s="93"/>
      <c r="G141" s="92">
        <f>G142</f>
        <v>350</v>
      </c>
    </row>
    <row r="142" spans="1:7" ht="15">
      <c r="A142" s="98" t="s">
        <v>166</v>
      </c>
      <c r="B142" s="94" t="s">
        <v>445</v>
      </c>
      <c r="C142" s="94" t="s">
        <v>36</v>
      </c>
      <c r="D142" s="94" t="s">
        <v>34</v>
      </c>
      <c r="E142" s="94"/>
      <c r="F142" s="105"/>
      <c r="G142" s="92">
        <f>G143</f>
        <v>350</v>
      </c>
    </row>
    <row r="143" spans="1:7" ht="30">
      <c r="A143" s="96" t="s">
        <v>142</v>
      </c>
      <c r="B143" s="94" t="s">
        <v>445</v>
      </c>
      <c r="C143" s="94" t="s">
        <v>36</v>
      </c>
      <c r="D143" s="94" t="s">
        <v>34</v>
      </c>
      <c r="E143" s="94" t="s">
        <v>141</v>
      </c>
      <c r="F143" s="93"/>
      <c r="G143" s="92">
        <f>G144</f>
        <v>350</v>
      </c>
    </row>
    <row r="144" spans="1:7" ht="30">
      <c r="A144" s="96" t="s">
        <v>118</v>
      </c>
      <c r="B144" s="94" t="s">
        <v>445</v>
      </c>
      <c r="C144" s="94" t="s">
        <v>36</v>
      </c>
      <c r="D144" s="94" t="s">
        <v>34</v>
      </c>
      <c r="E144" s="94" t="s">
        <v>141</v>
      </c>
      <c r="F144" s="93" t="s">
        <v>117</v>
      </c>
      <c r="G144" s="92">
        <f>350</f>
        <v>350</v>
      </c>
    </row>
    <row r="145" spans="1:7" ht="15">
      <c r="A145" s="96" t="s">
        <v>208</v>
      </c>
      <c r="B145" s="94" t="s">
        <v>445</v>
      </c>
      <c r="C145" s="94" t="s">
        <v>26</v>
      </c>
      <c r="D145" s="94"/>
      <c r="E145" s="94"/>
      <c r="F145" s="93"/>
      <c r="G145" s="92">
        <f>G146+G153+G151</f>
        <v>2305.4</v>
      </c>
    </row>
    <row r="146" spans="1:7" ht="15">
      <c r="A146" s="96" t="s">
        <v>23</v>
      </c>
      <c r="B146" s="94" t="s">
        <v>445</v>
      </c>
      <c r="C146" s="94" t="s">
        <v>26</v>
      </c>
      <c r="D146" s="94" t="s">
        <v>24</v>
      </c>
      <c r="E146" s="94"/>
      <c r="F146" s="93"/>
      <c r="G146" s="92">
        <f>G147</f>
        <v>1432</v>
      </c>
    </row>
    <row r="147" spans="1:7" ht="15">
      <c r="A147" s="96" t="s">
        <v>457</v>
      </c>
      <c r="B147" s="94" t="s">
        <v>445</v>
      </c>
      <c r="C147" s="94" t="s">
        <v>26</v>
      </c>
      <c r="D147" s="94" t="s">
        <v>24</v>
      </c>
      <c r="E147" s="94" t="s">
        <v>456</v>
      </c>
      <c r="F147" s="93"/>
      <c r="G147" s="92">
        <f>G148</f>
        <v>1432</v>
      </c>
    </row>
    <row r="148" spans="1:7" ht="15">
      <c r="A148" s="96" t="s">
        <v>455</v>
      </c>
      <c r="B148" s="94" t="s">
        <v>445</v>
      </c>
      <c r="C148" s="94" t="s">
        <v>26</v>
      </c>
      <c r="D148" s="94" t="s">
        <v>24</v>
      </c>
      <c r="E148" s="94" t="s">
        <v>454</v>
      </c>
      <c r="F148" s="93"/>
      <c r="G148" s="92">
        <f>G149</f>
        <v>1432</v>
      </c>
    </row>
    <row r="149" spans="1:7" ht="45">
      <c r="A149" s="96" t="s">
        <v>201</v>
      </c>
      <c r="B149" s="94" t="s">
        <v>445</v>
      </c>
      <c r="C149" s="94" t="s">
        <v>26</v>
      </c>
      <c r="D149" s="94" t="s">
        <v>24</v>
      </c>
      <c r="E149" s="94" t="s">
        <v>454</v>
      </c>
      <c r="F149" s="93" t="s">
        <v>199</v>
      </c>
      <c r="G149" s="92">
        <v>1432</v>
      </c>
    </row>
    <row r="150" spans="1:7" ht="15">
      <c r="A150" s="96" t="s">
        <v>21</v>
      </c>
      <c r="B150" s="94" t="s">
        <v>445</v>
      </c>
      <c r="C150" s="94" t="s">
        <v>26</v>
      </c>
      <c r="D150" s="94" t="s">
        <v>22</v>
      </c>
      <c r="E150" s="94"/>
      <c r="F150" s="93"/>
      <c r="G150" s="92">
        <f>G151+G154</f>
        <v>873.4</v>
      </c>
    </row>
    <row r="151" spans="1:7" ht="15">
      <c r="A151" s="96" t="s">
        <v>294</v>
      </c>
      <c r="B151" s="94" t="s">
        <v>445</v>
      </c>
      <c r="C151" s="94" t="s">
        <v>26</v>
      </c>
      <c r="D151" s="94" t="s">
        <v>22</v>
      </c>
      <c r="E151" s="94" t="s">
        <v>293</v>
      </c>
      <c r="F151" s="93"/>
      <c r="G151" s="92">
        <f>G152</f>
        <v>333.4</v>
      </c>
    </row>
    <row r="152" spans="1:7" ht="15">
      <c r="A152" s="96" t="s">
        <v>312</v>
      </c>
      <c r="B152" s="94" t="s">
        <v>445</v>
      </c>
      <c r="C152" s="94" t="s">
        <v>26</v>
      </c>
      <c r="D152" s="94" t="s">
        <v>22</v>
      </c>
      <c r="E152" s="94" t="s">
        <v>293</v>
      </c>
      <c r="F152" s="93" t="s">
        <v>311</v>
      </c>
      <c r="G152" s="92">
        <v>333.4</v>
      </c>
    </row>
    <row r="153" spans="1:7" ht="45">
      <c r="A153" s="142" t="s">
        <v>453</v>
      </c>
      <c r="B153" s="94" t="s">
        <v>445</v>
      </c>
      <c r="C153" s="94" t="s">
        <v>26</v>
      </c>
      <c r="D153" s="94" t="s">
        <v>22</v>
      </c>
      <c r="E153" s="94" t="s">
        <v>205</v>
      </c>
      <c r="F153" s="93"/>
      <c r="G153" s="92">
        <f>G154</f>
        <v>540</v>
      </c>
    </row>
    <row r="154" spans="1:7" ht="30">
      <c r="A154" s="99" t="s">
        <v>191</v>
      </c>
      <c r="B154" s="94" t="s">
        <v>445</v>
      </c>
      <c r="C154" s="94" t="s">
        <v>26</v>
      </c>
      <c r="D154" s="94" t="s">
        <v>22</v>
      </c>
      <c r="E154" s="94" t="s">
        <v>205</v>
      </c>
      <c r="F154" s="93" t="s">
        <v>189</v>
      </c>
      <c r="G154" s="92">
        <v>540</v>
      </c>
    </row>
    <row r="155" spans="1:7" ht="15">
      <c r="A155" s="96" t="s">
        <v>113</v>
      </c>
      <c r="B155" s="94" t="s">
        <v>445</v>
      </c>
      <c r="C155" s="94" t="s">
        <v>16</v>
      </c>
      <c r="D155" s="94"/>
      <c r="E155" s="94"/>
      <c r="F155" s="93"/>
      <c r="G155" s="92">
        <f>G156</f>
        <v>204</v>
      </c>
    </row>
    <row r="156" spans="1:7" ht="15.75">
      <c r="A156" s="141" t="s">
        <v>13</v>
      </c>
      <c r="B156" s="94" t="s">
        <v>445</v>
      </c>
      <c r="C156" s="94" t="s">
        <v>16</v>
      </c>
      <c r="D156" s="94" t="s">
        <v>14</v>
      </c>
      <c r="E156" s="94"/>
      <c r="F156" s="93"/>
      <c r="G156" s="92">
        <f>G157</f>
        <v>204</v>
      </c>
    </row>
    <row r="157" spans="1:7" ht="30">
      <c r="A157" s="96" t="s">
        <v>111</v>
      </c>
      <c r="B157" s="94" t="s">
        <v>445</v>
      </c>
      <c r="C157" s="94" t="s">
        <v>16</v>
      </c>
      <c r="D157" s="94" t="s">
        <v>14</v>
      </c>
      <c r="E157" s="94" t="s">
        <v>110</v>
      </c>
      <c r="F157" s="93"/>
      <c r="G157" s="92">
        <f>G158</f>
        <v>204</v>
      </c>
    </row>
    <row r="158" spans="1:7" ht="45">
      <c r="A158" s="96" t="s">
        <v>109</v>
      </c>
      <c r="B158" s="94" t="s">
        <v>445</v>
      </c>
      <c r="C158" s="94" t="s">
        <v>16</v>
      </c>
      <c r="D158" s="94" t="s">
        <v>14</v>
      </c>
      <c r="E158" s="94" t="s">
        <v>108</v>
      </c>
      <c r="F158" s="93"/>
      <c r="G158" s="92">
        <f>G159</f>
        <v>204</v>
      </c>
    </row>
    <row r="159" spans="1:7" ht="45">
      <c r="A159" s="96" t="s">
        <v>107</v>
      </c>
      <c r="B159" s="94" t="s">
        <v>445</v>
      </c>
      <c r="C159" s="94" t="s">
        <v>16</v>
      </c>
      <c r="D159" s="94" t="s">
        <v>14</v>
      </c>
      <c r="E159" s="94" t="s">
        <v>104</v>
      </c>
      <c r="F159" s="93"/>
      <c r="G159" s="92">
        <f>G160</f>
        <v>204</v>
      </c>
    </row>
    <row r="160" spans="1:7" ht="45">
      <c r="A160" s="96" t="s">
        <v>452</v>
      </c>
      <c r="B160" s="94" t="s">
        <v>445</v>
      </c>
      <c r="C160" s="94" t="s">
        <v>16</v>
      </c>
      <c r="D160" s="94" t="s">
        <v>14</v>
      </c>
      <c r="E160" s="94" t="s">
        <v>104</v>
      </c>
      <c r="F160" s="93" t="s">
        <v>451</v>
      </c>
      <c r="G160" s="92">
        <f>9600-4000-5496+100</f>
        <v>204</v>
      </c>
    </row>
    <row r="161" spans="1:7" ht="15">
      <c r="A161" s="96" t="s">
        <v>450</v>
      </c>
      <c r="B161" s="94" t="s">
        <v>445</v>
      </c>
      <c r="C161" s="94" t="s">
        <v>8</v>
      </c>
      <c r="D161" s="94"/>
      <c r="E161" s="94"/>
      <c r="F161" s="93"/>
      <c r="G161" s="92">
        <f>G162</f>
        <v>552</v>
      </c>
    </row>
    <row r="162" spans="1:7" ht="15">
      <c r="A162" s="96" t="s">
        <v>449</v>
      </c>
      <c r="B162" s="94" t="s">
        <v>445</v>
      </c>
      <c r="C162" s="94" t="s">
        <v>8</v>
      </c>
      <c r="D162" s="94" t="s">
        <v>6</v>
      </c>
      <c r="E162" s="94"/>
      <c r="F162" s="93"/>
      <c r="G162" s="92">
        <f>G163</f>
        <v>552</v>
      </c>
    </row>
    <row r="163" spans="1:7" ht="30">
      <c r="A163" s="96" t="s">
        <v>448</v>
      </c>
      <c r="B163" s="94" t="s">
        <v>445</v>
      </c>
      <c r="C163" s="94" t="s">
        <v>8</v>
      </c>
      <c r="D163" s="94" t="s">
        <v>6</v>
      </c>
      <c r="E163" s="94" t="s">
        <v>447</v>
      </c>
      <c r="F163" s="93"/>
      <c r="G163" s="92">
        <f>G164</f>
        <v>552</v>
      </c>
    </row>
    <row r="164" spans="1:7" ht="30">
      <c r="A164" s="96" t="s">
        <v>446</v>
      </c>
      <c r="B164" s="94" t="s">
        <v>445</v>
      </c>
      <c r="C164" s="94" t="s">
        <v>8</v>
      </c>
      <c r="D164" s="94" t="s">
        <v>6</v>
      </c>
      <c r="E164" s="94" t="s">
        <v>444</v>
      </c>
      <c r="F164" s="93"/>
      <c r="G164" s="92">
        <f>G165</f>
        <v>552</v>
      </c>
    </row>
    <row r="165" spans="1:7" ht="30">
      <c r="A165" s="96" t="s">
        <v>118</v>
      </c>
      <c r="B165" s="94" t="s">
        <v>445</v>
      </c>
      <c r="C165" s="94" t="s">
        <v>8</v>
      </c>
      <c r="D165" s="94" t="s">
        <v>6</v>
      </c>
      <c r="E165" s="94" t="s">
        <v>444</v>
      </c>
      <c r="F165" s="93" t="s">
        <v>117</v>
      </c>
      <c r="G165" s="92">
        <v>552</v>
      </c>
    </row>
    <row r="166" spans="1:7" ht="42.75">
      <c r="A166" s="111" t="s">
        <v>443</v>
      </c>
      <c r="B166" s="110" t="s">
        <v>437</v>
      </c>
      <c r="C166" s="125"/>
      <c r="D166" s="125"/>
      <c r="E166" s="125"/>
      <c r="F166" s="124"/>
      <c r="G166" s="109">
        <f>G167+G180</f>
        <v>20225.7</v>
      </c>
    </row>
    <row r="167" spans="1:7" ht="15">
      <c r="A167" s="96" t="s">
        <v>338</v>
      </c>
      <c r="B167" s="94" t="s">
        <v>437</v>
      </c>
      <c r="C167" s="94" t="s">
        <v>94</v>
      </c>
      <c r="D167" s="94"/>
      <c r="E167" s="94"/>
      <c r="F167" s="93"/>
      <c r="G167" s="92">
        <f>G168+G177</f>
        <v>12504</v>
      </c>
    </row>
    <row r="168" spans="1:7" ht="45">
      <c r="A168" s="96" t="s">
        <v>85</v>
      </c>
      <c r="B168" s="94" t="s">
        <v>437</v>
      </c>
      <c r="C168" s="94" t="s">
        <v>94</v>
      </c>
      <c r="D168" s="94" t="s">
        <v>86</v>
      </c>
      <c r="E168" s="94"/>
      <c r="F168" s="93"/>
      <c r="G168" s="136">
        <f>G169</f>
        <v>12413</v>
      </c>
    </row>
    <row r="169" spans="1:7" ht="45">
      <c r="A169" s="99" t="s">
        <v>134</v>
      </c>
      <c r="B169" s="94" t="s">
        <v>437</v>
      </c>
      <c r="C169" s="94" t="s">
        <v>94</v>
      </c>
      <c r="D169" s="94" t="s">
        <v>86</v>
      </c>
      <c r="E169" s="94" t="s">
        <v>133</v>
      </c>
      <c r="F169" s="93"/>
      <c r="G169" s="136">
        <f>G170</f>
        <v>12413</v>
      </c>
    </row>
    <row r="170" spans="1:7" ht="15">
      <c r="A170" s="99" t="s">
        <v>132</v>
      </c>
      <c r="B170" s="94" t="s">
        <v>437</v>
      </c>
      <c r="C170" s="94" t="s">
        <v>94</v>
      </c>
      <c r="D170" s="94" t="s">
        <v>86</v>
      </c>
      <c r="E170" s="94" t="s">
        <v>127</v>
      </c>
      <c r="F170" s="93"/>
      <c r="G170" s="136">
        <f>SUM(G171:G176)</f>
        <v>12413</v>
      </c>
    </row>
    <row r="171" spans="1:7" ht="15">
      <c r="A171" s="98" t="s">
        <v>124</v>
      </c>
      <c r="B171" s="94" t="s">
        <v>437</v>
      </c>
      <c r="C171" s="94" t="s">
        <v>94</v>
      </c>
      <c r="D171" s="94" t="s">
        <v>86</v>
      </c>
      <c r="E171" s="94" t="s">
        <v>127</v>
      </c>
      <c r="F171" s="97" t="s">
        <v>131</v>
      </c>
      <c r="G171" s="136">
        <f>10318+142</f>
        <v>10460</v>
      </c>
    </row>
    <row r="172" spans="1:7" ht="30">
      <c r="A172" s="98" t="s">
        <v>122</v>
      </c>
      <c r="B172" s="94" t="s">
        <v>437</v>
      </c>
      <c r="C172" s="94" t="s">
        <v>94</v>
      </c>
      <c r="D172" s="94" t="s">
        <v>86</v>
      </c>
      <c r="E172" s="94" t="s">
        <v>127</v>
      </c>
      <c r="F172" s="97" t="s">
        <v>130</v>
      </c>
      <c r="G172" s="136">
        <v>12.2</v>
      </c>
    </row>
    <row r="173" spans="1:7" ht="30">
      <c r="A173" s="98" t="s">
        <v>120</v>
      </c>
      <c r="B173" s="94" t="s">
        <v>437</v>
      </c>
      <c r="C173" s="94" t="s">
        <v>94</v>
      </c>
      <c r="D173" s="94" t="s">
        <v>86</v>
      </c>
      <c r="E173" s="94" t="s">
        <v>127</v>
      </c>
      <c r="F173" s="97" t="s">
        <v>119</v>
      </c>
      <c r="G173" s="136">
        <f>1766-380</f>
        <v>1386</v>
      </c>
    </row>
    <row r="174" spans="1:7" ht="30">
      <c r="A174" s="96" t="s">
        <v>118</v>
      </c>
      <c r="B174" s="94" t="s">
        <v>437</v>
      </c>
      <c r="C174" s="94" t="s">
        <v>94</v>
      </c>
      <c r="D174" s="94" t="s">
        <v>86</v>
      </c>
      <c r="E174" s="94" t="s">
        <v>127</v>
      </c>
      <c r="F174" s="97" t="s">
        <v>117</v>
      </c>
      <c r="G174" s="136">
        <f>551.8-20</f>
        <v>531.8</v>
      </c>
    </row>
    <row r="175" spans="1:7" ht="30">
      <c r="A175" s="98" t="s">
        <v>129</v>
      </c>
      <c r="B175" s="94" t="s">
        <v>437</v>
      </c>
      <c r="C175" s="94" t="s">
        <v>94</v>
      </c>
      <c r="D175" s="94" t="s">
        <v>86</v>
      </c>
      <c r="E175" s="94" t="s">
        <v>127</v>
      </c>
      <c r="F175" s="97" t="s">
        <v>128</v>
      </c>
      <c r="G175" s="136">
        <v>20</v>
      </c>
    </row>
    <row r="176" spans="1:7" ht="30">
      <c r="A176" s="98" t="s">
        <v>116</v>
      </c>
      <c r="B176" s="94" t="s">
        <v>437</v>
      </c>
      <c r="C176" s="94" t="s">
        <v>94</v>
      </c>
      <c r="D176" s="94" t="s">
        <v>86</v>
      </c>
      <c r="E176" s="94" t="s">
        <v>127</v>
      </c>
      <c r="F176" s="97" t="s">
        <v>114</v>
      </c>
      <c r="G176" s="136">
        <v>3</v>
      </c>
    </row>
    <row r="177" spans="1:7" ht="15">
      <c r="A177" s="140" t="s">
        <v>79</v>
      </c>
      <c r="B177" s="94" t="s">
        <v>437</v>
      </c>
      <c r="C177" s="94" t="s">
        <v>94</v>
      </c>
      <c r="D177" s="94" t="s">
        <v>80</v>
      </c>
      <c r="E177" s="100"/>
      <c r="F177" s="97"/>
      <c r="G177" s="136">
        <f>G178</f>
        <v>91</v>
      </c>
    </row>
    <row r="178" spans="1:7" ht="15">
      <c r="A178" s="129" t="s">
        <v>367</v>
      </c>
      <c r="B178" s="94" t="s">
        <v>437</v>
      </c>
      <c r="C178" s="94" t="s">
        <v>94</v>
      </c>
      <c r="D178" s="94" t="s">
        <v>80</v>
      </c>
      <c r="E178" s="100" t="s">
        <v>365</v>
      </c>
      <c r="F178" s="97"/>
      <c r="G178" s="136">
        <f>G179</f>
        <v>91</v>
      </c>
    </row>
    <row r="179" spans="1:7" ht="105">
      <c r="A179" s="96" t="s">
        <v>366</v>
      </c>
      <c r="B179" s="94" t="s">
        <v>437</v>
      </c>
      <c r="C179" s="94" t="s">
        <v>94</v>
      </c>
      <c r="D179" s="94" t="s">
        <v>80</v>
      </c>
      <c r="E179" s="100" t="s">
        <v>365</v>
      </c>
      <c r="F179" s="97" t="s">
        <v>364</v>
      </c>
      <c r="G179" s="136">
        <v>91</v>
      </c>
    </row>
    <row r="180" spans="1:7" ht="30">
      <c r="A180" s="99" t="s">
        <v>442</v>
      </c>
      <c r="B180" s="94" t="s">
        <v>437</v>
      </c>
      <c r="C180" s="94" t="s">
        <v>4</v>
      </c>
      <c r="D180" s="94" t="s">
        <v>2</v>
      </c>
      <c r="E180" s="94"/>
      <c r="F180" s="93"/>
      <c r="G180" s="136">
        <f>G181</f>
        <v>7721.7</v>
      </c>
    </row>
    <row r="181" spans="1:7" ht="30">
      <c r="A181" s="99" t="s">
        <v>441</v>
      </c>
      <c r="B181" s="94" t="s">
        <v>437</v>
      </c>
      <c r="C181" s="94" t="s">
        <v>4</v>
      </c>
      <c r="D181" s="94" t="s">
        <v>2</v>
      </c>
      <c r="E181" s="94" t="s">
        <v>440</v>
      </c>
      <c r="F181" s="93"/>
      <c r="G181" s="136">
        <f>G182</f>
        <v>7721.7</v>
      </c>
    </row>
    <row r="182" spans="1:7" ht="15">
      <c r="A182" s="96" t="s">
        <v>439</v>
      </c>
      <c r="B182" s="94" t="s">
        <v>437</v>
      </c>
      <c r="C182" s="94" t="s">
        <v>4</v>
      </c>
      <c r="D182" s="94" t="s">
        <v>2</v>
      </c>
      <c r="E182" s="94" t="s">
        <v>436</v>
      </c>
      <c r="F182" s="93"/>
      <c r="G182" s="136">
        <f>G183</f>
        <v>7721.7</v>
      </c>
    </row>
    <row r="183" spans="1:7" ht="15">
      <c r="A183" s="134" t="s">
        <v>438</v>
      </c>
      <c r="B183" s="94" t="s">
        <v>437</v>
      </c>
      <c r="C183" s="94" t="s">
        <v>4</v>
      </c>
      <c r="D183" s="94" t="s">
        <v>2</v>
      </c>
      <c r="E183" s="94" t="s">
        <v>436</v>
      </c>
      <c r="F183" s="93" t="s">
        <v>435</v>
      </c>
      <c r="G183" s="136">
        <f>7133+588.7</f>
        <v>7721.7</v>
      </c>
    </row>
    <row r="184" spans="1:7" ht="42.75">
      <c r="A184" s="111" t="s">
        <v>434</v>
      </c>
      <c r="B184" s="110" t="s">
        <v>420</v>
      </c>
      <c r="C184" s="125"/>
      <c r="D184" s="125"/>
      <c r="E184" s="125"/>
      <c r="F184" s="124"/>
      <c r="G184" s="139">
        <f>G185+G200</f>
        <v>17800.9</v>
      </c>
    </row>
    <row r="185" spans="1:7" ht="15">
      <c r="A185" s="96" t="s">
        <v>338</v>
      </c>
      <c r="B185" s="94" t="s">
        <v>420</v>
      </c>
      <c r="C185" s="94" t="s">
        <v>94</v>
      </c>
      <c r="D185" s="94"/>
      <c r="E185" s="94"/>
      <c r="F185" s="93"/>
      <c r="G185" s="136">
        <f>G186</f>
        <v>14250</v>
      </c>
    </row>
    <row r="186" spans="1:7" ht="15">
      <c r="A186" s="96" t="s">
        <v>79</v>
      </c>
      <c r="B186" s="94" t="s">
        <v>420</v>
      </c>
      <c r="C186" s="94" t="s">
        <v>94</v>
      </c>
      <c r="D186" s="94" t="s">
        <v>80</v>
      </c>
      <c r="E186" s="94"/>
      <c r="F186" s="93"/>
      <c r="G186" s="136">
        <f>G188+G195+G198</f>
        <v>14250</v>
      </c>
    </row>
    <row r="187" spans="1:7" ht="45">
      <c r="A187" s="99" t="s">
        <v>134</v>
      </c>
      <c r="B187" s="94" t="s">
        <v>420</v>
      </c>
      <c r="C187" s="94" t="s">
        <v>94</v>
      </c>
      <c r="D187" s="94" t="s">
        <v>80</v>
      </c>
      <c r="E187" s="94" t="s">
        <v>133</v>
      </c>
      <c r="F187" s="93"/>
      <c r="G187" s="136">
        <f>G188</f>
        <v>12232</v>
      </c>
    </row>
    <row r="188" spans="1:7" ht="15">
      <c r="A188" s="99" t="s">
        <v>132</v>
      </c>
      <c r="B188" s="94" t="s">
        <v>420</v>
      </c>
      <c r="C188" s="94" t="s">
        <v>94</v>
      </c>
      <c r="D188" s="94" t="s">
        <v>80</v>
      </c>
      <c r="E188" s="94" t="s">
        <v>127</v>
      </c>
      <c r="F188" s="93"/>
      <c r="G188" s="136">
        <f>SUM(G189:G194)</f>
        <v>12232</v>
      </c>
    </row>
    <row r="189" spans="1:7" ht="15">
      <c r="A189" s="98" t="s">
        <v>124</v>
      </c>
      <c r="B189" s="94" t="s">
        <v>420</v>
      </c>
      <c r="C189" s="94" t="s">
        <v>94</v>
      </c>
      <c r="D189" s="94" t="s">
        <v>80</v>
      </c>
      <c r="E189" s="94" t="s">
        <v>127</v>
      </c>
      <c r="F189" s="97" t="s">
        <v>131</v>
      </c>
      <c r="G189" s="136">
        <f>11026+314</f>
        <v>11340</v>
      </c>
    </row>
    <row r="190" spans="1:7" ht="30">
      <c r="A190" s="98" t="s">
        <v>122</v>
      </c>
      <c r="B190" s="94" t="s">
        <v>420</v>
      </c>
      <c r="C190" s="94" t="s">
        <v>94</v>
      </c>
      <c r="D190" s="94" t="s">
        <v>80</v>
      </c>
      <c r="E190" s="94" t="s">
        <v>127</v>
      </c>
      <c r="F190" s="97" t="s">
        <v>130</v>
      </c>
      <c r="G190" s="136">
        <v>25</v>
      </c>
    </row>
    <row r="191" spans="1:7" ht="30">
      <c r="A191" s="116" t="s">
        <v>120</v>
      </c>
      <c r="B191" s="94" t="s">
        <v>420</v>
      </c>
      <c r="C191" s="94" t="s">
        <v>94</v>
      </c>
      <c r="D191" s="94" t="s">
        <v>80</v>
      </c>
      <c r="E191" s="94" t="s">
        <v>127</v>
      </c>
      <c r="F191" s="97" t="s">
        <v>119</v>
      </c>
      <c r="G191" s="136">
        <v>527</v>
      </c>
    </row>
    <row r="192" spans="1:7" ht="30">
      <c r="A192" s="96" t="s">
        <v>118</v>
      </c>
      <c r="B192" s="94" t="s">
        <v>420</v>
      </c>
      <c r="C192" s="94" t="s">
        <v>94</v>
      </c>
      <c r="D192" s="94" t="s">
        <v>80</v>
      </c>
      <c r="E192" s="94" t="s">
        <v>127</v>
      </c>
      <c r="F192" s="97" t="s">
        <v>117</v>
      </c>
      <c r="G192" s="136">
        <v>325</v>
      </c>
    </row>
    <row r="193" spans="1:7" ht="30">
      <c r="A193" s="98" t="s">
        <v>129</v>
      </c>
      <c r="B193" s="94" t="s">
        <v>420</v>
      </c>
      <c r="C193" s="94" t="s">
        <v>94</v>
      </c>
      <c r="D193" s="94" t="s">
        <v>80</v>
      </c>
      <c r="E193" s="94" t="s">
        <v>127</v>
      </c>
      <c r="F193" s="97" t="s">
        <v>128</v>
      </c>
      <c r="G193" s="136">
        <v>10</v>
      </c>
    </row>
    <row r="194" spans="1:7" ht="30">
      <c r="A194" s="98" t="s">
        <v>116</v>
      </c>
      <c r="B194" s="94" t="s">
        <v>420</v>
      </c>
      <c r="C194" s="94" t="s">
        <v>94</v>
      </c>
      <c r="D194" s="94" t="s">
        <v>80</v>
      </c>
      <c r="E194" s="94" t="s">
        <v>127</v>
      </c>
      <c r="F194" s="97" t="s">
        <v>114</v>
      </c>
      <c r="G194" s="136">
        <v>5</v>
      </c>
    </row>
    <row r="195" spans="1:7" ht="45">
      <c r="A195" s="99" t="s">
        <v>433</v>
      </c>
      <c r="B195" s="94" t="s">
        <v>420</v>
      </c>
      <c r="C195" s="94" t="s">
        <v>94</v>
      </c>
      <c r="D195" s="94" t="s">
        <v>80</v>
      </c>
      <c r="E195" s="94" t="s">
        <v>432</v>
      </c>
      <c r="F195" s="93"/>
      <c r="G195" s="136">
        <f>G196</f>
        <v>1914</v>
      </c>
    </row>
    <row r="196" spans="1:7" ht="45">
      <c r="A196" s="96" t="s">
        <v>431</v>
      </c>
      <c r="B196" s="94" t="s">
        <v>420</v>
      </c>
      <c r="C196" s="94" t="s">
        <v>94</v>
      </c>
      <c r="D196" s="94" t="s">
        <v>80</v>
      </c>
      <c r="E196" s="94" t="s">
        <v>430</v>
      </c>
      <c r="F196" s="93"/>
      <c r="G196" s="136">
        <f>G197</f>
        <v>1914</v>
      </c>
    </row>
    <row r="197" spans="1:7" ht="30">
      <c r="A197" s="96" t="s">
        <v>118</v>
      </c>
      <c r="B197" s="94" t="s">
        <v>420</v>
      </c>
      <c r="C197" s="94" t="s">
        <v>94</v>
      </c>
      <c r="D197" s="94" t="s">
        <v>80</v>
      </c>
      <c r="E197" s="94" t="s">
        <v>430</v>
      </c>
      <c r="F197" s="93" t="s">
        <v>117</v>
      </c>
      <c r="G197" s="136">
        <f>2018-104</f>
        <v>1914</v>
      </c>
    </row>
    <row r="198" spans="1:7" ht="15">
      <c r="A198" s="129" t="s">
        <v>367</v>
      </c>
      <c r="B198" s="94" t="s">
        <v>420</v>
      </c>
      <c r="C198" s="94" t="s">
        <v>94</v>
      </c>
      <c r="D198" s="94" t="s">
        <v>80</v>
      </c>
      <c r="E198" s="100" t="s">
        <v>365</v>
      </c>
      <c r="F198" s="97"/>
      <c r="G198" s="136">
        <v>104</v>
      </c>
    </row>
    <row r="199" spans="1:7" ht="105">
      <c r="A199" s="96" t="s">
        <v>366</v>
      </c>
      <c r="B199" s="94" t="s">
        <v>420</v>
      </c>
      <c r="C199" s="94" t="s">
        <v>94</v>
      </c>
      <c r="D199" s="94" t="s">
        <v>80</v>
      </c>
      <c r="E199" s="100" t="s">
        <v>365</v>
      </c>
      <c r="F199" s="97" t="s">
        <v>364</v>
      </c>
      <c r="G199" s="136">
        <v>104</v>
      </c>
    </row>
    <row r="200" spans="1:7" ht="15">
      <c r="A200" s="96" t="s">
        <v>208</v>
      </c>
      <c r="B200" s="94" t="s">
        <v>420</v>
      </c>
      <c r="C200" s="94" t="s">
        <v>26</v>
      </c>
      <c r="D200" s="94"/>
      <c r="E200" s="94"/>
      <c r="F200" s="93"/>
      <c r="G200" s="136">
        <f>G204+G201</f>
        <v>3550.9</v>
      </c>
    </row>
    <row r="201" spans="1:7" ht="15">
      <c r="A201" s="96" t="s">
        <v>21</v>
      </c>
      <c r="B201" s="94" t="s">
        <v>420</v>
      </c>
      <c r="C201" s="94" t="s">
        <v>26</v>
      </c>
      <c r="D201" s="94" t="s">
        <v>22</v>
      </c>
      <c r="E201" s="94"/>
      <c r="F201" s="93"/>
      <c r="G201" s="136">
        <f>G202</f>
        <v>1000</v>
      </c>
    </row>
    <row r="202" spans="1:7" ht="30">
      <c r="A202" s="96" t="s">
        <v>429</v>
      </c>
      <c r="B202" s="94" t="s">
        <v>420</v>
      </c>
      <c r="C202" s="94" t="s">
        <v>26</v>
      </c>
      <c r="D202" s="94" t="s">
        <v>22</v>
      </c>
      <c r="E202" s="94" t="s">
        <v>427</v>
      </c>
      <c r="F202" s="93"/>
      <c r="G202" s="136">
        <f>G203</f>
        <v>1000</v>
      </c>
    </row>
    <row r="203" spans="1:7" ht="15">
      <c r="A203" s="99" t="s">
        <v>428</v>
      </c>
      <c r="B203" s="94" t="s">
        <v>420</v>
      </c>
      <c r="C203" s="94" t="s">
        <v>26</v>
      </c>
      <c r="D203" s="94" t="s">
        <v>22</v>
      </c>
      <c r="E203" s="94" t="s">
        <v>427</v>
      </c>
      <c r="F203" s="93" t="s">
        <v>426</v>
      </c>
      <c r="G203" s="136">
        <v>1000</v>
      </c>
    </row>
    <row r="204" spans="1:7" ht="15">
      <c r="A204" s="96" t="s">
        <v>19</v>
      </c>
      <c r="B204" s="94" t="s">
        <v>420</v>
      </c>
      <c r="C204" s="94" t="s">
        <v>26</v>
      </c>
      <c r="D204" s="94" t="s">
        <v>20</v>
      </c>
      <c r="E204" s="94"/>
      <c r="F204" s="93"/>
      <c r="G204" s="136">
        <f>G208+G206</f>
        <v>2550.9</v>
      </c>
    </row>
    <row r="205" spans="1:7" ht="60">
      <c r="A205" s="96" t="s">
        <v>425</v>
      </c>
      <c r="B205" s="94" t="s">
        <v>420</v>
      </c>
      <c r="C205" s="94" t="s">
        <v>26</v>
      </c>
      <c r="D205" s="94" t="s">
        <v>20</v>
      </c>
      <c r="E205" s="94" t="s">
        <v>424</v>
      </c>
      <c r="F205" s="93"/>
      <c r="G205" s="136">
        <f>G206</f>
        <v>1494.9</v>
      </c>
    </row>
    <row r="206" spans="1:7" ht="90">
      <c r="A206" s="96" t="s">
        <v>423</v>
      </c>
      <c r="B206" s="94" t="s">
        <v>420</v>
      </c>
      <c r="C206" s="94" t="s">
        <v>26</v>
      </c>
      <c r="D206" s="94" t="s">
        <v>20</v>
      </c>
      <c r="E206" s="94" t="s">
        <v>422</v>
      </c>
      <c r="F206" s="93"/>
      <c r="G206" s="136">
        <f>G207</f>
        <v>1494.9</v>
      </c>
    </row>
    <row r="207" spans="1:7" ht="30">
      <c r="A207" s="96" t="s">
        <v>118</v>
      </c>
      <c r="B207" s="94" t="s">
        <v>420</v>
      </c>
      <c r="C207" s="94" t="s">
        <v>26</v>
      </c>
      <c r="D207" s="94" t="s">
        <v>20</v>
      </c>
      <c r="E207" s="94" t="s">
        <v>422</v>
      </c>
      <c r="F207" s="93" t="s">
        <v>117</v>
      </c>
      <c r="G207" s="136">
        <v>1494.9</v>
      </c>
    </row>
    <row r="208" spans="1:7" ht="90">
      <c r="A208" s="96" t="s">
        <v>421</v>
      </c>
      <c r="B208" s="94" t="s">
        <v>420</v>
      </c>
      <c r="C208" s="94" t="s">
        <v>26</v>
      </c>
      <c r="D208" s="94" t="s">
        <v>20</v>
      </c>
      <c r="E208" s="94" t="s">
        <v>419</v>
      </c>
      <c r="F208" s="93"/>
      <c r="G208" s="136">
        <f>G209</f>
        <v>1056</v>
      </c>
    </row>
    <row r="209" spans="1:7" ht="30">
      <c r="A209" s="96" t="s">
        <v>118</v>
      </c>
      <c r="B209" s="94" t="s">
        <v>420</v>
      </c>
      <c r="C209" s="94" t="s">
        <v>26</v>
      </c>
      <c r="D209" s="94" t="s">
        <v>20</v>
      </c>
      <c r="E209" s="94" t="s">
        <v>419</v>
      </c>
      <c r="F209" s="93" t="s">
        <v>117</v>
      </c>
      <c r="G209" s="136">
        <v>1056</v>
      </c>
    </row>
    <row r="210" spans="1:7" ht="28.5">
      <c r="A210" s="135" t="s">
        <v>418</v>
      </c>
      <c r="B210" s="110" t="s">
        <v>416</v>
      </c>
      <c r="C210" s="138"/>
      <c r="D210" s="138"/>
      <c r="E210" s="138"/>
      <c r="F210" s="137"/>
      <c r="G210" s="109">
        <f>G211</f>
        <v>3072</v>
      </c>
    </row>
    <row r="211" spans="1:7" ht="15">
      <c r="A211" s="96" t="s">
        <v>338</v>
      </c>
      <c r="B211" s="125" t="s">
        <v>416</v>
      </c>
      <c r="C211" s="94" t="s">
        <v>94</v>
      </c>
      <c r="D211" s="94"/>
      <c r="E211" s="94"/>
      <c r="F211" s="93"/>
      <c r="G211" s="92">
        <f>G212</f>
        <v>3072</v>
      </c>
    </row>
    <row r="212" spans="1:7" ht="45">
      <c r="A212" s="96" t="s">
        <v>85</v>
      </c>
      <c r="B212" s="94" t="s">
        <v>416</v>
      </c>
      <c r="C212" s="94" t="s">
        <v>94</v>
      </c>
      <c r="D212" s="94" t="s">
        <v>86</v>
      </c>
      <c r="E212" s="94"/>
      <c r="F212" s="93"/>
      <c r="G212" s="136">
        <f>G213</f>
        <v>3072</v>
      </c>
    </row>
    <row r="213" spans="1:7" ht="45">
      <c r="A213" s="99" t="s">
        <v>134</v>
      </c>
      <c r="B213" s="94" t="s">
        <v>416</v>
      </c>
      <c r="C213" s="94" t="s">
        <v>94</v>
      </c>
      <c r="D213" s="94" t="s">
        <v>86</v>
      </c>
      <c r="E213" s="94" t="s">
        <v>133</v>
      </c>
      <c r="F213" s="93"/>
      <c r="G213" s="136">
        <f>G214+G221</f>
        <v>3072</v>
      </c>
    </row>
    <row r="214" spans="1:7" ht="15">
      <c r="A214" s="99" t="s">
        <v>132</v>
      </c>
      <c r="B214" s="94" t="s">
        <v>416</v>
      </c>
      <c r="C214" s="94" t="s">
        <v>94</v>
      </c>
      <c r="D214" s="94" t="s">
        <v>86</v>
      </c>
      <c r="E214" s="94" t="s">
        <v>127</v>
      </c>
      <c r="F214" s="93"/>
      <c r="G214" s="136">
        <f>SUM(G215:G220)</f>
        <v>1518</v>
      </c>
    </row>
    <row r="215" spans="1:7" ht="15">
      <c r="A215" s="98" t="s">
        <v>124</v>
      </c>
      <c r="B215" s="94" t="s">
        <v>416</v>
      </c>
      <c r="C215" s="94" t="s">
        <v>94</v>
      </c>
      <c r="D215" s="94" t="s">
        <v>86</v>
      </c>
      <c r="E215" s="94" t="s">
        <v>127</v>
      </c>
      <c r="F215" s="97" t="s">
        <v>131</v>
      </c>
      <c r="G215" s="136">
        <f>1032+14</f>
        <v>1046</v>
      </c>
    </row>
    <row r="216" spans="1:7" ht="30">
      <c r="A216" s="98" t="s">
        <v>122</v>
      </c>
      <c r="B216" s="94" t="s">
        <v>416</v>
      </c>
      <c r="C216" s="94" t="s">
        <v>94</v>
      </c>
      <c r="D216" s="94" t="s">
        <v>86</v>
      </c>
      <c r="E216" s="94" t="s">
        <v>127</v>
      </c>
      <c r="F216" s="97" t="s">
        <v>130</v>
      </c>
      <c r="G216" s="136">
        <f>13</f>
        <v>13</v>
      </c>
    </row>
    <row r="217" spans="1:7" ht="30">
      <c r="A217" s="98" t="s">
        <v>120</v>
      </c>
      <c r="B217" s="94" t="s">
        <v>416</v>
      </c>
      <c r="C217" s="94" t="s">
        <v>94</v>
      </c>
      <c r="D217" s="94" t="s">
        <v>86</v>
      </c>
      <c r="E217" s="94" t="s">
        <v>127</v>
      </c>
      <c r="F217" s="97" t="s">
        <v>119</v>
      </c>
      <c r="G217" s="136">
        <f>228</f>
        <v>228</v>
      </c>
    </row>
    <row r="218" spans="1:7" ht="30">
      <c r="A218" s="96" t="s">
        <v>118</v>
      </c>
      <c r="B218" s="94" t="s">
        <v>416</v>
      </c>
      <c r="C218" s="94" t="s">
        <v>94</v>
      </c>
      <c r="D218" s="94" t="s">
        <v>86</v>
      </c>
      <c r="E218" s="94" t="s">
        <v>127</v>
      </c>
      <c r="F218" s="97" t="s">
        <v>117</v>
      </c>
      <c r="G218" s="136">
        <f>216</f>
        <v>216</v>
      </c>
    </row>
    <row r="219" spans="1:7" ht="30">
      <c r="A219" s="98" t="s">
        <v>129</v>
      </c>
      <c r="B219" s="94" t="s">
        <v>416</v>
      </c>
      <c r="C219" s="94" t="s">
        <v>94</v>
      </c>
      <c r="D219" s="94" t="s">
        <v>86</v>
      </c>
      <c r="E219" s="94" t="s">
        <v>127</v>
      </c>
      <c r="F219" s="97" t="s">
        <v>128</v>
      </c>
      <c r="G219" s="136">
        <f>5</f>
        <v>5</v>
      </c>
    </row>
    <row r="220" spans="1:7" ht="30">
      <c r="A220" s="98" t="s">
        <v>116</v>
      </c>
      <c r="B220" s="94" t="s">
        <v>416</v>
      </c>
      <c r="C220" s="94" t="s">
        <v>94</v>
      </c>
      <c r="D220" s="94" t="s">
        <v>86</v>
      </c>
      <c r="E220" s="94" t="s">
        <v>127</v>
      </c>
      <c r="F220" s="97" t="s">
        <v>114</v>
      </c>
      <c r="G220" s="136">
        <v>10</v>
      </c>
    </row>
    <row r="221" spans="1:7" ht="30">
      <c r="A221" s="96" t="s">
        <v>417</v>
      </c>
      <c r="B221" s="94" t="s">
        <v>416</v>
      </c>
      <c r="C221" s="94" t="s">
        <v>94</v>
      </c>
      <c r="D221" s="94" t="s">
        <v>86</v>
      </c>
      <c r="E221" s="94" t="s">
        <v>415</v>
      </c>
      <c r="F221" s="93"/>
      <c r="G221" s="92">
        <f>G222</f>
        <v>1554</v>
      </c>
    </row>
    <row r="222" spans="1:7" ht="15">
      <c r="A222" s="98" t="s">
        <v>124</v>
      </c>
      <c r="B222" s="94" t="s">
        <v>416</v>
      </c>
      <c r="C222" s="94" t="s">
        <v>94</v>
      </c>
      <c r="D222" s="94" t="s">
        <v>86</v>
      </c>
      <c r="E222" s="94" t="s">
        <v>415</v>
      </c>
      <c r="F222" s="93" t="s">
        <v>131</v>
      </c>
      <c r="G222" s="92">
        <f>1533+21</f>
        <v>1554</v>
      </c>
    </row>
    <row r="223" spans="1:7" ht="42.75">
      <c r="A223" s="135" t="s">
        <v>414</v>
      </c>
      <c r="B223" s="110" t="s">
        <v>341</v>
      </c>
      <c r="C223" s="106"/>
      <c r="D223" s="106"/>
      <c r="E223" s="100"/>
      <c r="F223" s="93"/>
      <c r="G223" s="109">
        <f>G230+G249+G311+G316+G328+G224</f>
        <v>330891.89999999997</v>
      </c>
    </row>
    <row r="224" spans="1:7" ht="30">
      <c r="A224" s="96" t="s">
        <v>313</v>
      </c>
      <c r="B224" s="94" t="s">
        <v>341</v>
      </c>
      <c r="C224" s="94" t="s">
        <v>78</v>
      </c>
      <c r="D224" s="106"/>
      <c r="E224" s="100"/>
      <c r="F224" s="93"/>
      <c r="G224" s="92">
        <f>G225</f>
        <v>444.1</v>
      </c>
    </row>
    <row r="225" spans="1:7" ht="15">
      <c r="A225" s="116" t="s">
        <v>75</v>
      </c>
      <c r="B225" s="94" t="s">
        <v>341</v>
      </c>
      <c r="C225" s="94" t="s">
        <v>78</v>
      </c>
      <c r="D225" s="94" t="s">
        <v>76</v>
      </c>
      <c r="E225" s="94"/>
      <c r="F225" s="93"/>
      <c r="G225" s="92">
        <f>G226</f>
        <v>444.1</v>
      </c>
    </row>
    <row r="226" spans="1:7" ht="45">
      <c r="A226" s="116" t="s">
        <v>353</v>
      </c>
      <c r="B226" s="94" t="s">
        <v>341</v>
      </c>
      <c r="C226" s="94" t="s">
        <v>78</v>
      </c>
      <c r="D226" s="94" t="s">
        <v>76</v>
      </c>
      <c r="E226" s="117" t="s">
        <v>184</v>
      </c>
      <c r="F226" s="93"/>
      <c r="G226" s="92">
        <f>G227</f>
        <v>444.1</v>
      </c>
    </row>
    <row r="227" spans="1:7" ht="45">
      <c r="A227" s="116" t="s">
        <v>413</v>
      </c>
      <c r="B227" s="94" t="s">
        <v>341</v>
      </c>
      <c r="C227" s="94" t="s">
        <v>78</v>
      </c>
      <c r="D227" s="94" t="s">
        <v>76</v>
      </c>
      <c r="E227" s="117" t="s">
        <v>411</v>
      </c>
      <c r="F227" s="93"/>
      <c r="G227" s="92">
        <f>G228+G229</f>
        <v>444.1</v>
      </c>
    </row>
    <row r="228" spans="1:7" ht="30">
      <c r="A228" s="116" t="s">
        <v>118</v>
      </c>
      <c r="B228" s="106" t="s">
        <v>341</v>
      </c>
      <c r="C228" s="94" t="s">
        <v>78</v>
      </c>
      <c r="D228" s="94" t="s">
        <v>76</v>
      </c>
      <c r="E228" s="117" t="s">
        <v>411</v>
      </c>
      <c r="F228" s="93" t="s">
        <v>117</v>
      </c>
      <c r="G228" s="92">
        <v>14.1</v>
      </c>
    </row>
    <row r="229" spans="1:7" ht="45">
      <c r="A229" s="134" t="s">
        <v>412</v>
      </c>
      <c r="B229" s="106" t="s">
        <v>341</v>
      </c>
      <c r="C229" s="94" t="s">
        <v>78</v>
      </c>
      <c r="D229" s="94" t="s">
        <v>76</v>
      </c>
      <c r="E229" s="117" t="s">
        <v>411</v>
      </c>
      <c r="F229" s="93" t="s">
        <v>349</v>
      </c>
      <c r="G229" s="92">
        <v>430</v>
      </c>
    </row>
    <row r="230" spans="1:7" ht="15">
      <c r="A230" s="96" t="s">
        <v>175</v>
      </c>
      <c r="B230" s="94" t="s">
        <v>341</v>
      </c>
      <c r="C230" s="94" t="s">
        <v>72</v>
      </c>
      <c r="D230" s="94"/>
      <c r="E230" s="94"/>
      <c r="F230" s="93"/>
      <c r="G230" s="92">
        <f>G231+G237</f>
        <v>49127.6</v>
      </c>
    </row>
    <row r="231" spans="1:7" ht="15">
      <c r="A231" s="96" t="s">
        <v>65</v>
      </c>
      <c r="B231" s="94" t="s">
        <v>341</v>
      </c>
      <c r="C231" s="94" t="s">
        <v>72</v>
      </c>
      <c r="D231" s="94" t="s">
        <v>66</v>
      </c>
      <c r="E231" s="94"/>
      <c r="F231" s="93"/>
      <c r="G231" s="92">
        <f>G232+G235</f>
        <v>28170.8</v>
      </c>
    </row>
    <row r="232" spans="1:7" ht="30">
      <c r="A232" s="116" t="s">
        <v>410</v>
      </c>
      <c r="B232" s="94" t="s">
        <v>341</v>
      </c>
      <c r="C232" s="94" t="s">
        <v>72</v>
      </c>
      <c r="D232" s="94" t="s">
        <v>66</v>
      </c>
      <c r="E232" s="94" t="s">
        <v>409</v>
      </c>
      <c r="F232" s="93"/>
      <c r="G232" s="92">
        <f>G233+G234</f>
        <v>27918.3</v>
      </c>
    </row>
    <row r="233" spans="1:7" ht="60">
      <c r="A233" s="98" t="s">
        <v>161</v>
      </c>
      <c r="B233" s="94" t="s">
        <v>341</v>
      </c>
      <c r="C233" s="94" t="s">
        <v>72</v>
      </c>
      <c r="D233" s="94" t="s">
        <v>66</v>
      </c>
      <c r="E233" s="94" t="s">
        <v>409</v>
      </c>
      <c r="F233" s="93" t="s">
        <v>159</v>
      </c>
      <c r="G233" s="92">
        <v>15219.5</v>
      </c>
    </row>
    <row r="234" spans="1:7" ht="29.25" customHeight="1">
      <c r="A234" s="98" t="s">
        <v>106</v>
      </c>
      <c r="B234" s="94" t="s">
        <v>341</v>
      </c>
      <c r="C234" s="94" t="s">
        <v>72</v>
      </c>
      <c r="D234" s="94" t="s">
        <v>66</v>
      </c>
      <c r="E234" s="94" t="s">
        <v>409</v>
      </c>
      <c r="F234" s="93" t="s">
        <v>103</v>
      </c>
      <c r="G234" s="92">
        <v>12698.8</v>
      </c>
    </row>
    <row r="235" spans="1:7" ht="45.75" customHeight="1">
      <c r="A235" s="98" t="s">
        <v>408</v>
      </c>
      <c r="B235" s="94" t="s">
        <v>341</v>
      </c>
      <c r="C235" s="94" t="s">
        <v>72</v>
      </c>
      <c r="D235" s="94" t="s">
        <v>66</v>
      </c>
      <c r="E235" s="94" t="s">
        <v>407</v>
      </c>
      <c r="F235" s="93"/>
      <c r="G235" s="92">
        <f>G236</f>
        <v>252.5</v>
      </c>
    </row>
    <row r="236" spans="1:7" ht="21" customHeight="1">
      <c r="A236" s="98" t="s">
        <v>106</v>
      </c>
      <c r="B236" s="94" t="s">
        <v>341</v>
      </c>
      <c r="C236" s="94" t="s">
        <v>72</v>
      </c>
      <c r="D236" s="94" t="s">
        <v>66</v>
      </c>
      <c r="E236" s="94" t="s">
        <v>406</v>
      </c>
      <c r="F236" s="93" t="s">
        <v>103</v>
      </c>
      <c r="G236" s="92">
        <v>252.5</v>
      </c>
    </row>
    <row r="237" spans="1:7" ht="15">
      <c r="A237" s="116" t="s">
        <v>405</v>
      </c>
      <c r="B237" s="106" t="s">
        <v>341</v>
      </c>
      <c r="C237" s="106" t="s">
        <v>72</v>
      </c>
      <c r="D237" s="106" t="s">
        <v>64</v>
      </c>
      <c r="E237" s="94"/>
      <c r="F237" s="121"/>
      <c r="G237" s="92">
        <f>G240+G238+G246</f>
        <v>20956.8</v>
      </c>
    </row>
    <row r="238" spans="1:7" ht="15">
      <c r="A238" s="116" t="s">
        <v>404</v>
      </c>
      <c r="B238" s="106" t="s">
        <v>341</v>
      </c>
      <c r="C238" s="106" t="s">
        <v>72</v>
      </c>
      <c r="D238" s="106" t="s">
        <v>64</v>
      </c>
      <c r="E238" s="94" t="s">
        <v>403</v>
      </c>
      <c r="F238" s="121"/>
      <c r="G238" s="92">
        <f>G239</f>
        <v>2429</v>
      </c>
    </row>
    <row r="239" spans="1:7" ht="60">
      <c r="A239" s="116" t="s">
        <v>356</v>
      </c>
      <c r="B239" s="106" t="s">
        <v>341</v>
      </c>
      <c r="C239" s="106" t="s">
        <v>72</v>
      </c>
      <c r="D239" s="106" t="s">
        <v>64</v>
      </c>
      <c r="E239" s="94" t="s">
        <v>403</v>
      </c>
      <c r="F239" s="121" t="s">
        <v>144</v>
      </c>
      <c r="G239" s="92">
        <v>2429</v>
      </c>
    </row>
    <row r="240" spans="1:7" ht="30">
      <c r="A240" s="96" t="s">
        <v>111</v>
      </c>
      <c r="B240" s="94" t="s">
        <v>341</v>
      </c>
      <c r="C240" s="106" t="s">
        <v>72</v>
      </c>
      <c r="D240" s="106" t="s">
        <v>64</v>
      </c>
      <c r="E240" s="94" t="s">
        <v>110</v>
      </c>
      <c r="F240" s="93"/>
      <c r="G240" s="92">
        <f>G241+G244</f>
        <v>6005.4</v>
      </c>
    </row>
    <row r="241" spans="1:7" ht="30">
      <c r="A241" s="96" t="s">
        <v>402</v>
      </c>
      <c r="B241" s="94" t="s">
        <v>341</v>
      </c>
      <c r="C241" s="106" t="s">
        <v>72</v>
      </c>
      <c r="D241" s="106" t="s">
        <v>64</v>
      </c>
      <c r="E241" s="94" t="s">
        <v>401</v>
      </c>
      <c r="F241" s="93"/>
      <c r="G241" s="92">
        <f>G242+G243</f>
        <v>5705.4</v>
      </c>
    </row>
    <row r="242" spans="1:7" ht="30">
      <c r="A242" s="116" t="s">
        <v>118</v>
      </c>
      <c r="B242" s="94" t="s">
        <v>341</v>
      </c>
      <c r="C242" s="106" t="s">
        <v>72</v>
      </c>
      <c r="D242" s="106" t="s">
        <v>64</v>
      </c>
      <c r="E242" s="94" t="s">
        <v>401</v>
      </c>
      <c r="F242" s="93" t="s">
        <v>117</v>
      </c>
      <c r="G242" s="92">
        <v>3600</v>
      </c>
    </row>
    <row r="243" spans="1:7" ht="23.25" customHeight="1">
      <c r="A243" s="98" t="s">
        <v>106</v>
      </c>
      <c r="B243" s="94" t="s">
        <v>341</v>
      </c>
      <c r="C243" s="106" t="s">
        <v>72</v>
      </c>
      <c r="D243" s="106" t="s">
        <v>64</v>
      </c>
      <c r="E243" s="94" t="s">
        <v>401</v>
      </c>
      <c r="F243" s="93" t="s">
        <v>103</v>
      </c>
      <c r="G243" s="92">
        <v>2105.4</v>
      </c>
    </row>
    <row r="244" spans="1:7" ht="35.25" customHeight="1">
      <c r="A244" s="96" t="s">
        <v>400</v>
      </c>
      <c r="B244" s="94" t="s">
        <v>341</v>
      </c>
      <c r="C244" s="106" t="s">
        <v>72</v>
      </c>
      <c r="D244" s="106" t="s">
        <v>64</v>
      </c>
      <c r="E244" s="94" t="s">
        <v>399</v>
      </c>
      <c r="F244" s="93"/>
      <c r="G244" s="92">
        <f>G245</f>
        <v>300</v>
      </c>
    </row>
    <row r="245" spans="1:7" ht="30">
      <c r="A245" s="116" t="s">
        <v>118</v>
      </c>
      <c r="B245" s="94" t="s">
        <v>341</v>
      </c>
      <c r="C245" s="106" t="s">
        <v>72</v>
      </c>
      <c r="D245" s="106" t="s">
        <v>64</v>
      </c>
      <c r="E245" s="94" t="s">
        <v>399</v>
      </c>
      <c r="F245" s="93" t="s">
        <v>117</v>
      </c>
      <c r="G245" s="92">
        <v>300</v>
      </c>
    </row>
    <row r="246" spans="1:7" ht="45">
      <c r="A246" s="116" t="s">
        <v>185</v>
      </c>
      <c r="B246" s="94" t="s">
        <v>341</v>
      </c>
      <c r="C246" s="106" t="s">
        <v>72</v>
      </c>
      <c r="D246" s="106" t="s">
        <v>64</v>
      </c>
      <c r="E246" s="94" t="s">
        <v>184</v>
      </c>
      <c r="F246" s="93"/>
      <c r="G246" s="92">
        <f>G247</f>
        <v>12522.4</v>
      </c>
    </row>
    <row r="247" spans="1:7" ht="42" customHeight="1">
      <c r="A247" s="96" t="s">
        <v>398</v>
      </c>
      <c r="B247" s="94" t="s">
        <v>341</v>
      </c>
      <c r="C247" s="106" t="s">
        <v>72</v>
      </c>
      <c r="D247" s="106" t="s">
        <v>64</v>
      </c>
      <c r="E247" s="94" t="s">
        <v>397</v>
      </c>
      <c r="F247" s="93"/>
      <c r="G247" s="92">
        <f>G248</f>
        <v>12522.4</v>
      </c>
    </row>
    <row r="248" spans="1:7" ht="30">
      <c r="A248" s="116" t="s">
        <v>118</v>
      </c>
      <c r="B248" s="94" t="s">
        <v>341</v>
      </c>
      <c r="C248" s="106" t="s">
        <v>72</v>
      </c>
      <c r="D248" s="106" t="s">
        <v>64</v>
      </c>
      <c r="E248" s="94" t="s">
        <v>397</v>
      </c>
      <c r="F248" s="93" t="s">
        <v>117</v>
      </c>
      <c r="G248" s="92">
        <v>12522.4</v>
      </c>
    </row>
    <row r="249" spans="1:7" ht="15">
      <c r="A249" s="96" t="s">
        <v>334</v>
      </c>
      <c r="B249" s="94" t="s">
        <v>341</v>
      </c>
      <c r="C249" s="94" t="s">
        <v>60</v>
      </c>
      <c r="D249" s="94"/>
      <c r="E249" s="94"/>
      <c r="F249" s="93"/>
      <c r="G249" s="92">
        <f>G250+G272+G291+G265</f>
        <v>270351.9</v>
      </c>
    </row>
    <row r="250" spans="1:7" ht="15">
      <c r="A250" s="96" t="s">
        <v>57</v>
      </c>
      <c r="B250" s="94" t="s">
        <v>341</v>
      </c>
      <c r="C250" s="94" t="s">
        <v>60</v>
      </c>
      <c r="D250" s="94" t="s">
        <v>58</v>
      </c>
      <c r="E250" s="94"/>
      <c r="F250" s="93"/>
      <c r="G250" s="92">
        <f>G251+G254+G259+G262</f>
        <v>2609.2999999999997</v>
      </c>
    </row>
    <row r="251" spans="1:7" ht="15">
      <c r="A251" s="96" t="s">
        <v>396</v>
      </c>
      <c r="B251" s="94" t="s">
        <v>341</v>
      </c>
      <c r="C251" s="94" t="s">
        <v>60</v>
      </c>
      <c r="D251" s="94" t="s">
        <v>58</v>
      </c>
      <c r="E251" s="94" t="s">
        <v>395</v>
      </c>
      <c r="F251" s="93"/>
      <c r="G251" s="92">
        <f>G252</f>
        <v>22</v>
      </c>
    </row>
    <row r="252" spans="1:7" ht="30">
      <c r="A252" s="96" t="s">
        <v>394</v>
      </c>
      <c r="B252" s="94" t="s">
        <v>341</v>
      </c>
      <c r="C252" s="94" t="s">
        <v>60</v>
      </c>
      <c r="D252" s="94" t="s">
        <v>58</v>
      </c>
      <c r="E252" s="94" t="s">
        <v>393</v>
      </c>
      <c r="F252" s="93"/>
      <c r="G252" s="92">
        <f>G253</f>
        <v>22</v>
      </c>
    </row>
    <row r="253" spans="1:7" ht="30">
      <c r="A253" s="116" t="s">
        <v>118</v>
      </c>
      <c r="B253" s="94" t="s">
        <v>341</v>
      </c>
      <c r="C253" s="94" t="s">
        <v>60</v>
      </c>
      <c r="D253" s="94" t="s">
        <v>58</v>
      </c>
      <c r="E253" s="94" t="s">
        <v>393</v>
      </c>
      <c r="F253" s="93" t="s">
        <v>117</v>
      </c>
      <c r="G253" s="92">
        <v>22</v>
      </c>
    </row>
    <row r="254" spans="1:7" ht="30">
      <c r="A254" s="96" t="s">
        <v>111</v>
      </c>
      <c r="B254" s="94" t="s">
        <v>341</v>
      </c>
      <c r="C254" s="94" t="s">
        <v>60</v>
      </c>
      <c r="D254" s="94" t="s">
        <v>58</v>
      </c>
      <c r="E254" s="94" t="s">
        <v>110</v>
      </c>
      <c r="F254" s="93"/>
      <c r="G254" s="92">
        <f>G255+G257</f>
        <v>488.5</v>
      </c>
    </row>
    <row r="255" spans="1:7" ht="45">
      <c r="A255" s="96" t="s">
        <v>363</v>
      </c>
      <c r="B255" s="94" t="s">
        <v>341</v>
      </c>
      <c r="C255" s="94" t="s">
        <v>60</v>
      </c>
      <c r="D255" s="94" t="s">
        <v>58</v>
      </c>
      <c r="E255" s="94" t="s">
        <v>362</v>
      </c>
      <c r="F255" s="93"/>
      <c r="G255" s="92">
        <f>G256</f>
        <v>338.5</v>
      </c>
    </row>
    <row r="256" spans="1:7" ht="30">
      <c r="A256" s="116" t="s">
        <v>118</v>
      </c>
      <c r="B256" s="94" t="s">
        <v>341</v>
      </c>
      <c r="C256" s="94" t="s">
        <v>60</v>
      </c>
      <c r="D256" s="94" t="s">
        <v>58</v>
      </c>
      <c r="E256" s="94" t="s">
        <v>362</v>
      </c>
      <c r="F256" s="93" t="s">
        <v>117</v>
      </c>
      <c r="G256" s="92">
        <v>338.5</v>
      </c>
    </row>
    <row r="257" spans="1:7" ht="45">
      <c r="A257" s="96" t="s">
        <v>392</v>
      </c>
      <c r="B257" s="94" t="s">
        <v>341</v>
      </c>
      <c r="C257" s="94" t="s">
        <v>60</v>
      </c>
      <c r="D257" s="94" t="s">
        <v>58</v>
      </c>
      <c r="E257" s="94" t="s">
        <v>391</v>
      </c>
      <c r="F257" s="93"/>
      <c r="G257" s="92">
        <f>G258</f>
        <v>150</v>
      </c>
    </row>
    <row r="258" spans="1:7" ht="30">
      <c r="A258" s="116" t="s">
        <v>118</v>
      </c>
      <c r="B258" s="94" t="s">
        <v>341</v>
      </c>
      <c r="C258" s="94" t="s">
        <v>60</v>
      </c>
      <c r="D258" s="94" t="s">
        <v>58</v>
      </c>
      <c r="E258" s="94" t="s">
        <v>391</v>
      </c>
      <c r="F258" s="93" t="s">
        <v>117</v>
      </c>
      <c r="G258" s="92">
        <v>150</v>
      </c>
    </row>
    <row r="259" spans="1:7" ht="30">
      <c r="A259" s="96" t="s">
        <v>390</v>
      </c>
      <c r="B259" s="94" t="s">
        <v>341</v>
      </c>
      <c r="C259" s="94" t="s">
        <v>60</v>
      </c>
      <c r="D259" s="94" t="s">
        <v>58</v>
      </c>
      <c r="E259" s="94" t="s">
        <v>389</v>
      </c>
      <c r="F259" s="93"/>
      <c r="G259" s="92">
        <f>G260</f>
        <v>1602.2</v>
      </c>
    </row>
    <row r="260" spans="1:7" ht="45">
      <c r="A260" s="133" t="s">
        <v>388</v>
      </c>
      <c r="B260" s="132" t="s">
        <v>341</v>
      </c>
      <c r="C260" s="132" t="s">
        <v>60</v>
      </c>
      <c r="D260" s="132" t="s">
        <v>58</v>
      </c>
      <c r="E260" s="132" t="s">
        <v>387</v>
      </c>
      <c r="F260" s="131"/>
      <c r="G260" s="130">
        <f>G261</f>
        <v>1602.2</v>
      </c>
    </row>
    <row r="261" spans="1:7" ht="54.75" customHeight="1">
      <c r="A261" s="116" t="s">
        <v>351</v>
      </c>
      <c r="B261" s="132" t="s">
        <v>341</v>
      </c>
      <c r="C261" s="132" t="s">
        <v>60</v>
      </c>
      <c r="D261" s="132" t="s">
        <v>58</v>
      </c>
      <c r="E261" s="132" t="s">
        <v>387</v>
      </c>
      <c r="F261" s="131" t="s">
        <v>349</v>
      </c>
      <c r="G261" s="130">
        <v>1602.2</v>
      </c>
    </row>
    <row r="262" spans="1:7" ht="54.75" customHeight="1">
      <c r="A262" s="116" t="s">
        <v>185</v>
      </c>
      <c r="B262" s="132" t="s">
        <v>341</v>
      </c>
      <c r="C262" s="132" t="s">
        <v>60</v>
      </c>
      <c r="D262" s="132" t="s">
        <v>58</v>
      </c>
      <c r="E262" s="132" t="s">
        <v>184</v>
      </c>
      <c r="F262" s="131"/>
      <c r="G262" s="130">
        <f>G263</f>
        <v>496.6</v>
      </c>
    </row>
    <row r="263" spans="1:7" ht="60">
      <c r="A263" s="96" t="s">
        <v>386</v>
      </c>
      <c r="B263" s="132" t="s">
        <v>341</v>
      </c>
      <c r="C263" s="132" t="s">
        <v>60</v>
      </c>
      <c r="D263" s="132" t="s">
        <v>58</v>
      </c>
      <c r="E263" s="132" t="s">
        <v>360</v>
      </c>
      <c r="F263" s="131"/>
      <c r="G263" s="130">
        <f>G264</f>
        <v>496.6</v>
      </c>
    </row>
    <row r="264" spans="1:7" ht="30">
      <c r="A264" s="116" t="s">
        <v>118</v>
      </c>
      <c r="B264" s="132" t="s">
        <v>341</v>
      </c>
      <c r="C264" s="132" t="s">
        <v>60</v>
      </c>
      <c r="D264" s="132" t="s">
        <v>58</v>
      </c>
      <c r="E264" s="132" t="s">
        <v>360</v>
      </c>
      <c r="F264" s="131" t="s">
        <v>117</v>
      </c>
      <c r="G264" s="130">
        <v>496.6</v>
      </c>
    </row>
    <row r="265" spans="1:7" ht="15">
      <c r="A265" s="116" t="s">
        <v>55</v>
      </c>
      <c r="B265" s="94" t="s">
        <v>341</v>
      </c>
      <c r="C265" s="94" t="s">
        <v>60</v>
      </c>
      <c r="D265" s="94" t="s">
        <v>56</v>
      </c>
      <c r="E265" s="94"/>
      <c r="F265" s="93"/>
      <c r="G265" s="92">
        <f>G266+G268+G270</f>
        <v>186580.4</v>
      </c>
    </row>
    <row r="266" spans="1:7" ht="45">
      <c r="A266" s="116" t="s">
        <v>385</v>
      </c>
      <c r="B266" s="94" t="s">
        <v>341</v>
      </c>
      <c r="C266" s="94" t="s">
        <v>60</v>
      </c>
      <c r="D266" s="94" t="s">
        <v>56</v>
      </c>
      <c r="E266" s="94" t="s">
        <v>384</v>
      </c>
      <c r="F266" s="93"/>
      <c r="G266" s="92">
        <f>G267</f>
        <v>1694.6</v>
      </c>
    </row>
    <row r="267" spans="1:7" ht="45">
      <c r="A267" s="116" t="s">
        <v>380</v>
      </c>
      <c r="B267" s="94" t="s">
        <v>341</v>
      </c>
      <c r="C267" s="94" t="s">
        <v>60</v>
      </c>
      <c r="D267" s="94" t="s">
        <v>56</v>
      </c>
      <c r="E267" s="94" t="s">
        <v>384</v>
      </c>
      <c r="F267" s="93" t="s">
        <v>349</v>
      </c>
      <c r="G267" s="92">
        <v>1694.6</v>
      </c>
    </row>
    <row r="268" spans="1:7" ht="60">
      <c r="A268" s="116" t="s">
        <v>383</v>
      </c>
      <c r="B268" s="94" t="s">
        <v>341</v>
      </c>
      <c r="C268" s="94" t="s">
        <v>60</v>
      </c>
      <c r="D268" s="94" t="s">
        <v>56</v>
      </c>
      <c r="E268" s="94" t="s">
        <v>382</v>
      </c>
      <c r="F268" s="93"/>
      <c r="G268" s="92">
        <f>G269</f>
        <v>3583.2</v>
      </c>
    </row>
    <row r="269" spans="1:7" ht="45">
      <c r="A269" s="116" t="s">
        <v>380</v>
      </c>
      <c r="B269" s="94" t="s">
        <v>341</v>
      </c>
      <c r="C269" s="94" t="s">
        <v>60</v>
      </c>
      <c r="D269" s="94" t="s">
        <v>56</v>
      </c>
      <c r="E269" s="94" t="s">
        <v>382</v>
      </c>
      <c r="F269" s="93" t="s">
        <v>349</v>
      </c>
      <c r="G269" s="92">
        <v>3583.2</v>
      </c>
    </row>
    <row r="270" spans="1:7" ht="30">
      <c r="A270" s="116" t="s">
        <v>381</v>
      </c>
      <c r="B270" s="94" t="s">
        <v>341</v>
      </c>
      <c r="C270" s="94" t="s">
        <v>60</v>
      </c>
      <c r="D270" s="94" t="s">
        <v>56</v>
      </c>
      <c r="E270" s="94" t="s">
        <v>379</v>
      </c>
      <c r="F270" s="93"/>
      <c r="G270" s="92">
        <f>G271</f>
        <v>181302.6</v>
      </c>
    </row>
    <row r="271" spans="1:7" ht="45">
      <c r="A271" s="116" t="s">
        <v>380</v>
      </c>
      <c r="B271" s="94" t="s">
        <v>341</v>
      </c>
      <c r="C271" s="94" t="s">
        <v>60</v>
      </c>
      <c r="D271" s="94" t="s">
        <v>56</v>
      </c>
      <c r="E271" s="94" t="s">
        <v>379</v>
      </c>
      <c r="F271" s="93" t="s">
        <v>349</v>
      </c>
      <c r="G271" s="92">
        <v>181302.6</v>
      </c>
    </row>
    <row r="272" spans="1:7" ht="15">
      <c r="A272" s="96" t="s">
        <v>53</v>
      </c>
      <c r="B272" s="94" t="s">
        <v>341</v>
      </c>
      <c r="C272" s="94" t="s">
        <v>60</v>
      </c>
      <c r="D272" s="94" t="s">
        <v>54</v>
      </c>
      <c r="E272" s="94"/>
      <c r="F272" s="93"/>
      <c r="G272" s="92">
        <f>G273+G285+G288</f>
        <v>59620.40000000001</v>
      </c>
    </row>
    <row r="273" spans="1:7" ht="30">
      <c r="A273" s="96" t="s">
        <v>333</v>
      </c>
      <c r="B273" s="94" t="s">
        <v>341</v>
      </c>
      <c r="C273" s="94" t="s">
        <v>60</v>
      </c>
      <c r="D273" s="94" t="s">
        <v>54</v>
      </c>
      <c r="E273" s="94" t="s">
        <v>332</v>
      </c>
      <c r="F273" s="93"/>
      <c r="G273" s="92">
        <f>G274+G278+G280+G283</f>
        <v>55233.600000000006</v>
      </c>
    </row>
    <row r="274" spans="1:7" ht="15">
      <c r="A274" s="96" t="s">
        <v>378</v>
      </c>
      <c r="B274" s="94" t="s">
        <v>341</v>
      </c>
      <c r="C274" s="94" t="s">
        <v>60</v>
      </c>
      <c r="D274" s="94" t="s">
        <v>54</v>
      </c>
      <c r="E274" s="94" t="s">
        <v>377</v>
      </c>
      <c r="F274" s="93"/>
      <c r="G274" s="92">
        <f>G275+G277+G276</f>
        <v>11326.7</v>
      </c>
    </row>
    <row r="275" spans="1:7" ht="30">
      <c r="A275" s="116" t="s">
        <v>118</v>
      </c>
      <c r="B275" s="94" t="s">
        <v>341</v>
      </c>
      <c r="C275" s="94" t="s">
        <v>60</v>
      </c>
      <c r="D275" s="94" t="s">
        <v>54</v>
      </c>
      <c r="E275" s="94" t="s">
        <v>377</v>
      </c>
      <c r="F275" s="93" t="s">
        <v>117</v>
      </c>
      <c r="G275" s="92">
        <v>5578.1</v>
      </c>
    </row>
    <row r="276" spans="1:7" ht="60">
      <c r="A276" s="116" t="s">
        <v>356</v>
      </c>
      <c r="B276" s="94" t="s">
        <v>341</v>
      </c>
      <c r="C276" s="94" t="s">
        <v>60</v>
      </c>
      <c r="D276" s="94" t="s">
        <v>54</v>
      </c>
      <c r="E276" s="94" t="s">
        <v>377</v>
      </c>
      <c r="F276" s="93" t="s">
        <v>144</v>
      </c>
      <c r="G276" s="92">
        <v>777.1</v>
      </c>
    </row>
    <row r="277" spans="1:7" ht="45">
      <c r="A277" s="116" t="s">
        <v>351</v>
      </c>
      <c r="B277" s="94" t="s">
        <v>341</v>
      </c>
      <c r="C277" s="94" t="s">
        <v>60</v>
      </c>
      <c r="D277" s="94" t="s">
        <v>54</v>
      </c>
      <c r="E277" s="94" t="s">
        <v>377</v>
      </c>
      <c r="F277" s="93" t="s">
        <v>349</v>
      </c>
      <c r="G277" s="92">
        <v>4971.5</v>
      </c>
    </row>
    <row r="278" spans="1:7" ht="15">
      <c r="A278" s="96" t="s">
        <v>376</v>
      </c>
      <c r="B278" s="94" t="s">
        <v>341</v>
      </c>
      <c r="C278" s="94" t="s">
        <v>60</v>
      </c>
      <c r="D278" s="94" t="s">
        <v>54</v>
      </c>
      <c r="E278" s="94" t="s">
        <v>375</v>
      </c>
      <c r="F278" s="93"/>
      <c r="G278" s="92">
        <f>G279</f>
        <v>2538.5</v>
      </c>
    </row>
    <row r="279" spans="1:7" ht="60">
      <c r="A279" s="116" t="s">
        <v>356</v>
      </c>
      <c r="B279" s="94" t="s">
        <v>341</v>
      </c>
      <c r="C279" s="94" t="s">
        <v>60</v>
      </c>
      <c r="D279" s="94" t="s">
        <v>54</v>
      </c>
      <c r="E279" s="94" t="s">
        <v>375</v>
      </c>
      <c r="F279" s="93" t="s">
        <v>144</v>
      </c>
      <c r="G279" s="92">
        <v>2538.5</v>
      </c>
    </row>
    <row r="280" spans="1:7" ht="30">
      <c r="A280" s="99" t="s">
        <v>331</v>
      </c>
      <c r="B280" s="94" t="s">
        <v>341</v>
      </c>
      <c r="C280" s="94" t="s">
        <v>60</v>
      </c>
      <c r="D280" s="94" t="s">
        <v>54</v>
      </c>
      <c r="E280" s="94" t="s">
        <v>329</v>
      </c>
      <c r="F280" s="93"/>
      <c r="G280" s="92">
        <f>G282+G281</f>
        <v>38043.9</v>
      </c>
    </row>
    <row r="281" spans="1:7" ht="30">
      <c r="A281" s="116" t="s">
        <v>118</v>
      </c>
      <c r="B281" s="94" t="s">
        <v>341</v>
      </c>
      <c r="C281" s="94" t="s">
        <v>60</v>
      </c>
      <c r="D281" s="94" t="s">
        <v>54</v>
      </c>
      <c r="E281" s="94" t="s">
        <v>329</v>
      </c>
      <c r="F281" s="93" t="s">
        <v>117</v>
      </c>
      <c r="G281" s="92">
        <v>157.5</v>
      </c>
    </row>
    <row r="282" spans="1:7" ht="60">
      <c r="A282" s="116" t="s">
        <v>356</v>
      </c>
      <c r="B282" s="94" t="s">
        <v>341</v>
      </c>
      <c r="C282" s="94" t="s">
        <v>60</v>
      </c>
      <c r="D282" s="94" t="s">
        <v>54</v>
      </c>
      <c r="E282" s="94" t="s">
        <v>329</v>
      </c>
      <c r="F282" s="93" t="s">
        <v>144</v>
      </c>
      <c r="G282" s="92">
        <v>37886.4</v>
      </c>
    </row>
    <row r="283" spans="1:7" ht="45">
      <c r="A283" s="116" t="s">
        <v>374</v>
      </c>
      <c r="B283" s="94" t="s">
        <v>341</v>
      </c>
      <c r="C283" s="94" t="s">
        <v>60</v>
      </c>
      <c r="D283" s="94" t="s">
        <v>54</v>
      </c>
      <c r="E283" s="94" t="s">
        <v>373</v>
      </c>
      <c r="F283" s="93"/>
      <c r="G283" s="92">
        <f>G284</f>
        <v>3324.5</v>
      </c>
    </row>
    <row r="284" spans="1:7" ht="60">
      <c r="A284" s="98" t="s">
        <v>161</v>
      </c>
      <c r="B284" s="94" t="s">
        <v>341</v>
      </c>
      <c r="C284" s="94" t="s">
        <v>60</v>
      </c>
      <c r="D284" s="94" t="s">
        <v>54</v>
      </c>
      <c r="E284" s="94" t="s">
        <v>373</v>
      </c>
      <c r="F284" s="93" t="s">
        <v>138</v>
      </c>
      <c r="G284" s="92">
        <v>3324.5</v>
      </c>
    </row>
    <row r="285" spans="1:7" ht="30">
      <c r="A285" s="96" t="s">
        <v>111</v>
      </c>
      <c r="B285" s="94" t="s">
        <v>341</v>
      </c>
      <c r="C285" s="94" t="s">
        <v>60</v>
      </c>
      <c r="D285" s="94" t="s">
        <v>54</v>
      </c>
      <c r="E285" s="94" t="s">
        <v>110</v>
      </c>
      <c r="F285" s="93"/>
      <c r="G285" s="92">
        <f>G286</f>
        <v>3500</v>
      </c>
    </row>
    <row r="286" spans="1:7" ht="30">
      <c r="A286" s="96" t="s">
        <v>372</v>
      </c>
      <c r="B286" s="94" t="s">
        <v>341</v>
      </c>
      <c r="C286" s="94" t="s">
        <v>60</v>
      </c>
      <c r="D286" s="94" t="s">
        <v>54</v>
      </c>
      <c r="E286" s="94" t="s">
        <v>371</v>
      </c>
      <c r="F286" s="93"/>
      <c r="G286" s="92">
        <f>G287</f>
        <v>3500</v>
      </c>
    </row>
    <row r="287" spans="1:7" ht="30">
      <c r="A287" s="116" t="s">
        <v>118</v>
      </c>
      <c r="B287" s="94" t="s">
        <v>341</v>
      </c>
      <c r="C287" s="94" t="s">
        <v>60</v>
      </c>
      <c r="D287" s="94" t="s">
        <v>54</v>
      </c>
      <c r="E287" s="94" t="s">
        <v>371</v>
      </c>
      <c r="F287" s="93" t="s">
        <v>117</v>
      </c>
      <c r="G287" s="92">
        <v>3500</v>
      </c>
    </row>
    <row r="288" spans="1:7" ht="45">
      <c r="A288" s="116" t="s">
        <v>353</v>
      </c>
      <c r="B288" s="94" t="s">
        <v>341</v>
      </c>
      <c r="C288" s="94" t="s">
        <v>60</v>
      </c>
      <c r="D288" s="94" t="s">
        <v>54</v>
      </c>
      <c r="E288" s="94" t="s">
        <v>184</v>
      </c>
      <c r="F288" s="93"/>
      <c r="G288" s="92">
        <f>G289</f>
        <v>886.8</v>
      </c>
    </row>
    <row r="289" spans="1:7" ht="45">
      <c r="A289" s="96" t="s">
        <v>370</v>
      </c>
      <c r="B289" s="94" t="s">
        <v>341</v>
      </c>
      <c r="C289" s="94" t="s">
        <v>60</v>
      </c>
      <c r="D289" s="94" t="s">
        <v>54</v>
      </c>
      <c r="E289" s="94" t="s">
        <v>369</v>
      </c>
      <c r="F289" s="93"/>
      <c r="G289" s="92">
        <f>G290</f>
        <v>886.8</v>
      </c>
    </row>
    <row r="290" spans="1:7" ht="30">
      <c r="A290" s="116" t="s">
        <v>118</v>
      </c>
      <c r="B290" s="94" t="s">
        <v>341</v>
      </c>
      <c r="C290" s="94" t="s">
        <v>60</v>
      </c>
      <c r="D290" s="94" t="s">
        <v>54</v>
      </c>
      <c r="E290" s="94" t="s">
        <v>369</v>
      </c>
      <c r="F290" s="93" t="s">
        <v>117</v>
      </c>
      <c r="G290" s="92">
        <v>886.8</v>
      </c>
    </row>
    <row r="291" spans="1:7" ht="30">
      <c r="A291" s="96" t="s">
        <v>368</v>
      </c>
      <c r="B291" s="94" t="s">
        <v>341</v>
      </c>
      <c r="C291" s="94" t="s">
        <v>60</v>
      </c>
      <c r="D291" s="94" t="s">
        <v>52</v>
      </c>
      <c r="E291" s="94"/>
      <c r="F291" s="93"/>
      <c r="G291" s="92">
        <f>G303+G292+G301+G307</f>
        <v>21541.8</v>
      </c>
    </row>
    <row r="292" spans="1:7" ht="45">
      <c r="A292" s="99" t="s">
        <v>134</v>
      </c>
      <c r="B292" s="94" t="s">
        <v>341</v>
      </c>
      <c r="C292" s="94" t="s">
        <v>60</v>
      </c>
      <c r="D292" s="94" t="s">
        <v>52</v>
      </c>
      <c r="E292" s="94" t="s">
        <v>133</v>
      </c>
      <c r="F292" s="93"/>
      <c r="G292" s="92">
        <f>G293</f>
        <v>10381.699999999999</v>
      </c>
    </row>
    <row r="293" spans="1:7" ht="15">
      <c r="A293" s="99" t="s">
        <v>132</v>
      </c>
      <c r="B293" s="94" t="s">
        <v>341</v>
      </c>
      <c r="C293" s="94" t="s">
        <v>60</v>
      </c>
      <c r="D293" s="94" t="s">
        <v>52</v>
      </c>
      <c r="E293" s="94" t="s">
        <v>127</v>
      </c>
      <c r="F293" s="93"/>
      <c r="G293" s="92">
        <f>G294+G295+G296+G297+G299+G300+G298</f>
        <v>10381.699999999999</v>
      </c>
    </row>
    <row r="294" spans="1:7" ht="15">
      <c r="A294" s="98" t="s">
        <v>124</v>
      </c>
      <c r="B294" s="94" t="s">
        <v>341</v>
      </c>
      <c r="C294" s="94" t="s">
        <v>60</v>
      </c>
      <c r="D294" s="94" t="s">
        <v>52</v>
      </c>
      <c r="E294" s="94" t="s">
        <v>127</v>
      </c>
      <c r="F294" s="97" t="s">
        <v>131</v>
      </c>
      <c r="G294" s="92">
        <f>8667.9+120</f>
        <v>8787.9</v>
      </c>
    </row>
    <row r="295" spans="1:7" ht="30">
      <c r="A295" s="98" t="s">
        <v>122</v>
      </c>
      <c r="B295" s="94" t="s">
        <v>341</v>
      </c>
      <c r="C295" s="94" t="s">
        <v>60</v>
      </c>
      <c r="D295" s="94" t="s">
        <v>52</v>
      </c>
      <c r="E295" s="94" t="s">
        <v>127</v>
      </c>
      <c r="F295" s="97" t="s">
        <v>130</v>
      </c>
      <c r="G295" s="92">
        <v>4.8</v>
      </c>
    </row>
    <row r="296" spans="1:7" ht="30">
      <c r="A296" s="98" t="s">
        <v>120</v>
      </c>
      <c r="B296" s="94" t="s">
        <v>341</v>
      </c>
      <c r="C296" s="94" t="s">
        <v>60</v>
      </c>
      <c r="D296" s="94" t="s">
        <v>52</v>
      </c>
      <c r="E296" s="94" t="s">
        <v>127</v>
      </c>
      <c r="F296" s="97" t="s">
        <v>119</v>
      </c>
      <c r="G296" s="92">
        <v>330.9</v>
      </c>
    </row>
    <row r="297" spans="1:7" ht="30">
      <c r="A297" s="116" t="s">
        <v>118</v>
      </c>
      <c r="B297" s="94" t="s">
        <v>341</v>
      </c>
      <c r="C297" s="94" t="s">
        <v>60</v>
      </c>
      <c r="D297" s="94" t="s">
        <v>52</v>
      </c>
      <c r="E297" s="94" t="s">
        <v>127</v>
      </c>
      <c r="F297" s="97" t="s">
        <v>117</v>
      </c>
      <c r="G297" s="92">
        <v>803.1</v>
      </c>
    </row>
    <row r="298" spans="1:7" ht="105">
      <c r="A298" s="96" t="s">
        <v>366</v>
      </c>
      <c r="B298" s="94" t="s">
        <v>341</v>
      </c>
      <c r="C298" s="94" t="s">
        <v>60</v>
      </c>
      <c r="D298" s="94" t="s">
        <v>52</v>
      </c>
      <c r="E298" s="94" t="s">
        <v>127</v>
      </c>
      <c r="F298" s="97" t="s">
        <v>364</v>
      </c>
      <c r="G298" s="92">
        <v>5</v>
      </c>
    </row>
    <row r="299" spans="1:7" ht="30">
      <c r="A299" s="98" t="s">
        <v>129</v>
      </c>
      <c r="B299" s="94" t="s">
        <v>341</v>
      </c>
      <c r="C299" s="94" t="s">
        <v>60</v>
      </c>
      <c r="D299" s="94" t="s">
        <v>52</v>
      </c>
      <c r="E299" s="94" t="s">
        <v>127</v>
      </c>
      <c r="F299" s="97" t="s">
        <v>128</v>
      </c>
      <c r="G299" s="92">
        <v>400</v>
      </c>
    </row>
    <row r="300" spans="1:7" ht="30">
      <c r="A300" s="98" t="s">
        <v>116</v>
      </c>
      <c r="B300" s="94" t="s">
        <v>341</v>
      </c>
      <c r="C300" s="94" t="s">
        <v>60</v>
      </c>
      <c r="D300" s="94" t="s">
        <v>52</v>
      </c>
      <c r="E300" s="94" t="s">
        <v>127</v>
      </c>
      <c r="F300" s="97" t="s">
        <v>114</v>
      </c>
      <c r="G300" s="92">
        <v>50</v>
      </c>
    </row>
    <row r="301" spans="1:7" ht="18.75" customHeight="1">
      <c r="A301" s="129" t="s">
        <v>367</v>
      </c>
      <c r="B301" s="94" t="s">
        <v>341</v>
      </c>
      <c r="C301" s="94" t="s">
        <v>60</v>
      </c>
      <c r="D301" s="94" t="s">
        <v>52</v>
      </c>
      <c r="E301" s="100" t="s">
        <v>365</v>
      </c>
      <c r="F301" s="97"/>
      <c r="G301" s="92">
        <f>G302</f>
        <v>1465.9</v>
      </c>
    </row>
    <row r="302" spans="1:7" ht="105">
      <c r="A302" s="96" t="s">
        <v>366</v>
      </c>
      <c r="B302" s="94" t="s">
        <v>341</v>
      </c>
      <c r="C302" s="94" t="s">
        <v>60</v>
      </c>
      <c r="D302" s="94" t="s">
        <v>52</v>
      </c>
      <c r="E302" s="100" t="s">
        <v>365</v>
      </c>
      <c r="F302" s="97" t="s">
        <v>364</v>
      </c>
      <c r="G302" s="92">
        <v>1465.9</v>
      </c>
    </row>
    <row r="303" spans="1:7" ht="30">
      <c r="A303" s="96" t="s">
        <v>308</v>
      </c>
      <c r="B303" s="94" t="s">
        <v>341</v>
      </c>
      <c r="C303" s="94" t="s">
        <v>60</v>
      </c>
      <c r="D303" s="94" t="s">
        <v>52</v>
      </c>
      <c r="E303" s="94" t="s">
        <v>110</v>
      </c>
      <c r="F303" s="93"/>
      <c r="G303" s="92">
        <f>G304</f>
        <v>8820.5</v>
      </c>
    </row>
    <row r="304" spans="1:7" ht="45">
      <c r="A304" s="96" t="s">
        <v>363</v>
      </c>
      <c r="B304" s="94" t="s">
        <v>341</v>
      </c>
      <c r="C304" s="94" t="s">
        <v>60</v>
      </c>
      <c r="D304" s="94" t="s">
        <v>52</v>
      </c>
      <c r="E304" s="94" t="s">
        <v>362</v>
      </c>
      <c r="F304" s="93"/>
      <c r="G304" s="92">
        <f>G305+G306</f>
        <v>8820.5</v>
      </c>
    </row>
    <row r="305" spans="1:7" ht="30">
      <c r="A305" s="116" t="s">
        <v>118</v>
      </c>
      <c r="B305" s="94" t="s">
        <v>341</v>
      </c>
      <c r="C305" s="94" t="s">
        <v>60</v>
      </c>
      <c r="D305" s="94" t="s">
        <v>52</v>
      </c>
      <c r="E305" s="94" t="s">
        <v>362</v>
      </c>
      <c r="F305" s="93" t="s">
        <v>117</v>
      </c>
      <c r="G305" s="92">
        <v>320.5</v>
      </c>
    </row>
    <row r="306" spans="1:7" ht="45">
      <c r="A306" s="116" t="s">
        <v>351</v>
      </c>
      <c r="B306" s="94" t="s">
        <v>341</v>
      </c>
      <c r="C306" s="94" t="s">
        <v>60</v>
      </c>
      <c r="D306" s="94" t="s">
        <v>52</v>
      </c>
      <c r="E306" s="94" t="s">
        <v>362</v>
      </c>
      <c r="F306" s="93" t="s">
        <v>349</v>
      </c>
      <c r="G306" s="92">
        <v>8500</v>
      </c>
    </row>
    <row r="307" spans="1:7" ht="45">
      <c r="A307" s="116" t="s">
        <v>353</v>
      </c>
      <c r="B307" s="94" t="s">
        <v>341</v>
      </c>
      <c r="C307" s="94" t="s">
        <v>60</v>
      </c>
      <c r="D307" s="94" t="s">
        <v>52</v>
      </c>
      <c r="E307" s="94" t="s">
        <v>184</v>
      </c>
      <c r="F307" s="93"/>
      <c r="G307" s="92">
        <f>G308</f>
        <v>873.7</v>
      </c>
    </row>
    <row r="308" spans="1:7" ht="60">
      <c r="A308" s="96" t="s">
        <v>361</v>
      </c>
      <c r="B308" s="94" t="s">
        <v>341</v>
      </c>
      <c r="C308" s="94" t="s">
        <v>60</v>
      </c>
      <c r="D308" s="94" t="s">
        <v>52</v>
      </c>
      <c r="E308" s="94" t="s">
        <v>360</v>
      </c>
      <c r="F308" s="93"/>
      <c r="G308" s="92">
        <v>873.7</v>
      </c>
    </row>
    <row r="309" spans="1:7" ht="30">
      <c r="A309" s="116" t="s">
        <v>118</v>
      </c>
      <c r="B309" s="94" t="s">
        <v>341</v>
      </c>
      <c r="C309" s="94" t="s">
        <v>60</v>
      </c>
      <c r="D309" s="94" t="s">
        <v>52</v>
      </c>
      <c r="E309" s="94" t="s">
        <v>360</v>
      </c>
      <c r="F309" s="93" t="s">
        <v>117</v>
      </c>
      <c r="G309" s="92">
        <v>128.7</v>
      </c>
    </row>
    <row r="310" spans="1:7" ht="45">
      <c r="A310" s="116" t="s">
        <v>351</v>
      </c>
      <c r="B310" s="94" t="s">
        <v>341</v>
      </c>
      <c r="C310" s="94" t="s">
        <v>60</v>
      </c>
      <c r="D310" s="94" t="s">
        <v>52</v>
      </c>
      <c r="E310" s="94" t="s">
        <v>360</v>
      </c>
      <c r="F310" s="93" t="s">
        <v>349</v>
      </c>
      <c r="G310" s="92">
        <v>745</v>
      </c>
    </row>
    <row r="311" spans="1:7" ht="15">
      <c r="A311" s="96" t="s">
        <v>359</v>
      </c>
      <c r="B311" s="94" t="s">
        <v>341</v>
      </c>
      <c r="C311" s="94" t="s">
        <v>50</v>
      </c>
      <c r="D311" s="94"/>
      <c r="E311" s="94"/>
      <c r="F311" s="93"/>
      <c r="G311" s="92">
        <f>G312</f>
        <v>150</v>
      </c>
    </row>
    <row r="312" spans="1:7" ht="15">
      <c r="A312" s="96" t="s">
        <v>358</v>
      </c>
      <c r="B312" s="94" t="s">
        <v>341</v>
      </c>
      <c r="C312" s="94" t="s">
        <v>50</v>
      </c>
      <c r="D312" s="94" t="s">
        <v>48</v>
      </c>
      <c r="E312" s="94"/>
      <c r="F312" s="93"/>
      <c r="G312" s="92">
        <f>G313</f>
        <v>150</v>
      </c>
    </row>
    <row r="313" spans="1:7" ht="15">
      <c r="A313" s="96" t="s">
        <v>357</v>
      </c>
      <c r="B313" s="94" t="s">
        <v>341</v>
      </c>
      <c r="C313" s="94" t="s">
        <v>50</v>
      </c>
      <c r="D313" s="94" t="s">
        <v>48</v>
      </c>
      <c r="E313" s="94" t="s">
        <v>355</v>
      </c>
      <c r="F313" s="93"/>
      <c r="G313" s="92">
        <f>G314</f>
        <v>150</v>
      </c>
    </row>
    <row r="314" spans="1:7" ht="60">
      <c r="A314" s="116" t="s">
        <v>356</v>
      </c>
      <c r="B314" s="94" t="s">
        <v>341</v>
      </c>
      <c r="C314" s="94" t="s">
        <v>50</v>
      </c>
      <c r="D314" s="94" t="s">
        <v>48</v>
      </c>
      <c r="E314" s="94" t="s">
        <v>355</v>
      </c>
      <c r="F314" s="93" t="s">
        <v>144</v>
      </c>
      <c r="G314" s="92">
        <v>150</v>
      </c>
    </row>
    <row r="315" spans="1:7" ht="15">
      <c r="A315" s="116" t="s">
        <v>208</v>
      </c>
      <c r="B315" s="94" t="s">
        <v>341</v>
      </c>
      <c r="C315" s="94" t="s">
        <v>26</v>
      </c>
      <c r="D315" s="94"/>
      <c r="E315" s="94"/>
      <c r="F315" s="93"/>
      <c r="G315" s="92">
        <f>G316+G328</f>
        <v>10818.3</v>
      </c>
    </row>
    <row r="316" spans="1:7" ht="15">
      <c r="A316" s="96" t="s">
        <v>21</v>
      </c>
      <c r="B316" s="94" t="s">
        <v>341</v>
      </c>
      <c r="C316" s="94" t="s">
        <v>26</v>
      </c>
      <c r="D316" s="94" t="s">
        <v>22</v>
      </c>
      <c r="E316" s="94"/>
      <c r="F316" s="93"/>
      <c r="G316" s="92">
        <f>G317+G321+G326</f>
        <v>5031.3</v>
      </c>
    </row>
    <row r="317" spans="1:7" ht="30">
      <c r="A317" s="96" t="s">
        <v>111</v>
      </c>
      <c r="B317" s="94" t="s">
        <v>341</v>
      </c>
      <c r="C317" s="94" t="s">
        <v>26</v>
      </c>
      <c r="D317" s="94" t="s">
        <v>22</v>
      </c>
      <c r="E317" s="94" t="s">
        <v>207</v>
      </c>
      <c r="F317" s="93"/>
      <c r="G317" s="92">
        <f>G318+G324</f>
        <v>2760</v>
      </c>
    </row>
    <row r="318" spans="1:7" ht="45">
      <c r="A318" s="96" t="s">
        <v>354</v>
      </c>
      <c r="B318" s="94" t="s">
        <v>341</v>
      </c>
      <c r="C318" s="94" t="s">
        <v>26</v>
      </c>
      <c r="D318" s="94" t="s">
        <v>22</v>
      </c>
      <c r="E318" s="94" t="s">
        <v>205</v>
      </c>
      <c r="F318" s="93"/>
      <c r="G318" s="92">
        <f>G319+G320</f>
        <v>2610</v>
      </c>
    </row>
    <row r="319" spans="1:7" ht="45">
      <c r="A319" s="116" t="s">
        <v>351</v>
      </c>
      <c r="B319" s="94" t="s">
        <v>341</v>
      </c>
      <c r="C319" s="94" t="s">
        <v>26</v>
      </c>
      <c r="D319" s="94" t="s">
        <v>22</v>
      </c>
      <c r="E319" s="94" t="s">
        <v>205</v>
      </c>
      <c r="F319" s="93" t="s">
        <v>349</v>
      </c>
      <c r="G319" s="92">
        <v>2585</v>
      </c>
    </row>
    <row r="320" spans="1:7" ht="30">
      <c r="A320" s="116" t="s">
        <v>118</v>
      </c>
      <c r="B320" s="94" t="s">
        <v>341</v>
      </c>
      <c r="C320" s="94" t="s">
        <v>26</v>
      </c>
      <c r="D320" s="94" t="s">
        <v>22</v>
      </c>
      <c r="E320" s="94" t="s">
        <v>205</v>
      </c>
      <c r="F320" s="93" t="s">
        <v>117</v>
      </c>
      <c r="G320" s="92">
        <v>25</v>
      </c>
    </row>
    <row r="321" spans="1:7" ht="45">
      <c r="A321" s="116" t="s">
        <v>353</v>
      </c>
      <c r="B321" s="94" t="s">
        <v>341</v>
      </c>
      <c r="C321" s="94" t="s">
        <v>26</v>
      </c>
      <c r="D321" s="94" t="s">
        <v>22</v>
      </c>
      <c r="E321" s="94" t="s">
        <v>184</v>
      </c>
      <c r="F321" s="93"/>
      <c r="G321" s="92">
        <f>G322</f>
        <v>1446.6</v>
      </c>
    </row>
    <row r="322" spans="1:7" ht="45">
      <c r="A322" s="96" t="s">
        <v>352</v>
      </c>
      <c r="B322" s="94" t="s">
        <v>341</v>
      </c>
      <c r="C322" s="94" t="s">
        <v>26</v>
      </c>
      <c r="D322" s="94" t="s">
        <v>22</v>
      </c>
      <c r="E322" s="94" t="s">
        <v>350</v>
      </c>
      <c r="F322" s="93"/>
      <c r="G322" s="92">
        <f>G323</f>
        <v>1446.6</v>
      </c>
    </row>
    <row r="323" spans="1:7" ht="45">
      <c r="A323" s="116" t="s">
        <v>351</v>
      </c>
      <c r="B323" s="94" t="s">
        <v>341</v>
      </c>
      <c r="C323" s="94" t="s">
        <v>26</v>
      </c>
      <c r="D323" s="94" t="s">
        <v>22</v>
      </c>
      <c r="E323" s="94" t="s">
        <v>350</v>
      </c>
      <c r="F323" s="93" t="s">
        <v>349</v>
      </c>
      <c r="G323" s="92">
        <v>1446.6</v>
      </c>
    </row>
    <row r="324" spans="1:7" ht="60">
      <c r="A324" s="96" t="s">
        <v>348</v>
      </c>
      <c r="B324" s="94" t="s">
        <v>341</v>
      </c>
      <c r="C324" s="94" t="s">
        <v>26</v>
      </c>
      <c r="D324" s="94" t="s">
        <v>22</v>
      </c>
      <c r="E324" s="94" t="s">
        <v>347</v>
      </c>
      <c r="F324" s="93"/>
      <c r="G324" s="92">
        <f>G325</f>
        <v>150</v>
      </c>
    </row>
    <row r="325" spans="1:7" ht="30">
      <c r="A325" s="116" t="s">
        <v>118</v>
      </c>
      <c r="B325" s="94" t="s">
        <v>341</v>
      </c>
      <c r="C325" s="94" t="s">
        <v>26</v>
      </c>
      <c r="D325" s="94" t="s">
        <v>22</v>
      </c>
      <c r="E325" s="94" t="s">
        <v>347</v>
      </c>
      <c r="F325" s="93" t="s">
        <v>117</v>
      </c>
      <c r="G325" s="92">
        <v>150</v>
      </c>
    </row>
    <row r="326" spans="1:7" ht="75">
      <c r="A326" s="116" t="s">
        <v>346</v>
      </c>
      <c r="B326" s="94" t="s">
        <v>341</v>
      </c>
      <c r="C326" s="94" t="s">
        <v>26</v>
      </c>
      <c r="D326" s="94" t="s">
        <v>22</v>
      </c>
      <c r="E326" s="94" t="s">
        <v>345</v>
      </c>
      <c r="F326" s="93"/>
      <c r="G326" s="92">
        <f>G327</f>
        <v>824.7</v>
      </c>
    </row>
    <row r="327" spans="1:7" ht="30">
      <c r="A327" s="116" t="s">
        <v>118</v>
      </c>
      <c r="B327" s="94" t="s">
        <v>341</v>
      </c>
      <c r="C327" s="94" t="s">
        <v>26</v>
      </c>
      <c r="D327" s="94" t="s">
        <v>22</v>
      </c>
      <c r="E327" s="94" t="s">
        <v>345</v>
      </c>
      <c r="F327" s="93" t="s">
        <v>117</v>
      </c>
      <c r="G327" s="92">
        <v>824.7</v>
      </c>
    </row>
    <row r="328" spans="1:7" ht="15">
      <c r="A328" s="99" t="s">
        <v>17</v>
      </c>
      <c r="B328" s="94" t="s">
        <v>341</v>
      </c>
      <c r="C328" s="94" t="s">
        <v>26</v>
      </c>
      <c r="D328" s="94" t="s">
        <v>18</v>
      </c>
      <c r="E328" s="94"/>
      <c r="F328" s="93"/>
      <c r="G328" s="92">
        <f>G329+G331</f>
        <v>5787</v>
      </c>
    </row>
    <row r="329" spans="1:7" ht="30">
      <c r="A329" s="99" t="s">
        <v>344</v>
      </c>
      <c r="B329" s="94" t="s">
        <v>341</v>
      </c>
      <c r="C329" s="94" t="s">
        <v>26</v>
      </c>
      <c r="D329" s="94" t="s">
        <v>18</v>
      </c>
      <c r="E329" s="94" t="s">
        <v>343</v>
      </c>
      <c r="F329" s="93"/>
      <c r="G329" s="92">
        <f>G330</f>
        <v>5713.8</v>
      </c>
    </row>
    <row r="330" spans="1:7" ht="60">
      <c r="A330" s="98" t="s">
        <v>161</v>
      </c>
      <c r="B330" s="94" t="s">
        <v>341</v>
      </c>
      <c r="C330" s="94" t="s">
        <v>26</v>
      </c>
      <c r="D330" s="94" t="s">
        <v>18</v>
      </c>
      <c r="E330" s="94" t="s">
        <v>343</v>
      </c>
      <c r="F330" s="93" t="s">
        <v>159</v>
      </c>
      <c r="G330" s="92">
        <v>5713.8</v>
      </c>
    </row>
    <row r="331" spans="1:7" ht="45">
      <c r="A331" s="98" t="s">
        <v>342</v>
      </c>
      <c r="B331" s="94" t="s">
        <v>341</v>
      </c>
      <c r="C331" s="94" t="s">
        <v>26</v>
      </c>
      <c r="D331" s="94" t="s">
        <v>18</v>
      </c>
      <c r="E331" s="94" t="s">
        <v>340</v>
      </c>
      <c r="F331" s="93"/>
      <c r="G331" s="92">
        <f>G332</f>
        <v>73.2</v>
      </c>
    </row>
    <row r="332" spans="1:7" ht="30">
      <c r="A332" s="98" t="s">
        <v>106</v>
      </c>
      <c r="B332" s="94" t="s">
        <v>341</v>
      </c>
      <c r="C332" s="94" t="s">
        <v>26</v>
      </c>
      <c r="D332" s="94" t="s">
        <v>18</v>
      </c>
      <c r="E332" s="94" t="s">
        <v>340</v>
      </c>
      <c r="F332" s="93" t="s">
        <v>103</v>
      </c>
      <c r="G332" s="92">
        <v>73.2</v>
      </c>
    </row>
    <row r="333" spans="1:7" ht="15">
      <c r="A333" s="98"/>
      <c r="B333" s="94"/>
      <c r="C333" s="94"/>
      <c r="D333" s="94"/>
      <c r="E333" s="94"/>
      <c r="F333" s="93"/>
      <c r="G333" s="92"/>
    </row>
    <row r="334" spans="1:7" ht="42.75">
      <c r="A334" s="128" t="s">
        <v>339</v>
      </c>
      <c r="B334" s="127" t="s">
        <v>330</v>
      </c>
      <c r="C334" s="106"/>
      <c r="D334" s="106"/>
      <c r="E334" s="126"/>
      <c r="F334" s="121"/>
      <c r="G334" s="109">
        <f>G335+G345</f>
        <v>20741.3</v>
      </c>
    </row>
    <row r="335" spans="1:7" ht="15">
      <c r="A335" s="96" t="s">
        <v>338</v>
      </c>
      <c r="B335" s="94" t="s">
        <v>330</v>
      </c>
      <c r="C335" s="94" t="s">
        <v>94</v>
      </c>
      <c r="D335" s="94"/>
      <c r="E335" s="94"/>
      <c r="F335" s="93"/>
      <c r="G335" s="92">
        <f>G336</f>
        <v>20217.3</v>
      </c>
    </row>
    <row r="336" spans="1:7" ht="15">
      <c r="A336" s="96" t="s">
        <v>79</v>
      </c>
      <c r="B336" s="94" t="s">
        <v>330</v>
      </c>
      <c r="C336" s="94" t="s">
        <v>94</v>
      </c>
      <c r="D336" s="94" t="s">
        <v>80</v>
      </c>
      <c r="E336" s="94"/>
      <c r="F336" s="93"/>
      <c r="G336" s="92">
        <f>G337</f>
        <v>20217.3</v>
      </c>
    </row>
    <row r="337" spans="1:7" ht="30">
      <c r="A337" s="96" t="s">
        <v>337</v>
      </c>
      <c r="B337" s="94" t="s">
        <v>330</v>
      </c>
      <c r="C337" s="94" t="s">
        <v>94</v>
      </c>
      <c r="D337" s="94" t="s">
        <v>80</v>
      </c>
      <c r="E337" s="94" t="s">
        <v>336</v>
      </c>
      <c r="F337" s="93"/>
      <c r="G337" s="92">
        <f>G338</f>
        <v>20217.3</v>
      </c>
    </row>
    <row r="338" spans="1:7" ht="30">
      <c r="A338" s="96" t="s">
        <v>125</v>
      </c>
      <c r="B338" s="94" t="s">
        <v>330</v>
      </c>
      <c r="C338" s="94" t="s">
        <v>94</v>
      </c>
      <c r="D338" s="94" t="s">
        <v>80</v>
      </c>
      <c r="E338" s="94" t="s">
        <v>335</v>
      </c>
      <c r="F338" s="93"/>
      <c r="G338" s="92">
        <f>G339+G341+G342+G343+G344+G340</f>
        <v>20217.3</v>
      </c>
    </row>
    <row r="339" spans="1:7" ht="15">
      <c r="A339" s="98" t="s">
        <v>124</v>
      </c>
      <c r="B339" s="94" t="s">
        <v>330</v>
      </c>
      <c r="C339" s="94" t="s">
        <v>94</v>
      </c>
      <c r="D339" s="94" t="s">
        <v>80</v>
      </c>
      <c r="E339" s="94" t="s">
        <v>335</v>
      </c>
      <c r="F339" s="97" t="s">
        <v>123</v>
      </c>
      <c r="G339" s="92">
        <f>5272+72+375.4</f>
        <v>5719.4</v>
      </c>
    </row>
    <row r="340" spans="1:7" ht="30">
      <c r="A340" s="98" t="s">
        <v>122</v>
      </c>
      <c r="B340" s="94" t="s">
        <v>330</v>
      </c>
      <c r="C340" s="94" t="s">
        <v>94</v>
      </c>
      <c r="D340" s="94" t="s">
        <v>80</v>
      </c>
      <c r="E340" s="94" t="s">
        <v>335</v>
      </c>
      <c r="F340" s="97" t="s">
        <v>121</v>
      </c>
      <c r="G340" s="92">
        <v>8</v>
      </c>
    </row>
    <row r="341" spans="1:7" ht="30">
      <c r="A341" s="98" t="s">
        <v>120</v>
      </c>
      <c r="B341" s="94" t="s">
        <v>330</v>
      </c>
      <c r="C341" s="94" t="s">
        <v>94</v>
      </c>
      <c r="D341" s="94" t="s">
        <v>80</v>
      </c>
      <c r="E341" s="94" t="s">
        <v>335</v>
      </c>
      <c r="F341" s="97" t="s">
        <v>119</v>
      </c>
      <c r="G341" s="92">
        <f>551+54.1-226.3</f>
        <v>378.8</v>
      </c>
    </row>
    <row r="342" spans="1:7" ht="30">
      <c r="A342" s="96" t="s">
        <v>118</v>
      </c>
      <c r="B342" s="94" t="s">
        <v>330</v>
      </c>
      <c r="C342" s="94" t="s">
        <v>94</v>
      </c>
      <c r="D342" s="94" t="s">
        <v>80</v>
      </c>
      <c r="E342" s="94" t="s">
        <v>335</v>
      </c>
      <c r="F342" s="97" t="s">
        <v>117</v>
      </c>
      <c r="G342" s="92">
        <f>11105+1242.5-2724.2+3903.2</f>
        <v>13526.5</v>
      </c>
    </row>
    <row r="343" spans="1:7" ht="30">
      <c r="A343" s="98" t="s">
        <v>129</v>
      </c>
      <c r="B343" s="94" t="s">
        <v>330</v>
      </c>
      <c r="C343" s="94" t="s">
        <v>94</v>
      </c>
      <c r="D343" s="94" t="s">
        <v>80</v>
      </c>
      <c r="E343" s="94" t="s">
        <v>335</v>
      </c>
      <c r="F343" s="97" t="s">
        <v>128</v>
      </c>
      <c r="G343" s="92">
        <f>450+98.1</f>
        <v>548.1</v>
      </c>
    </row>
    <row r="344" spans="1:7" ht="30">
      <c r="A344" s="98" t="s">
        <v>116</v>
      </c>
      <c r="B344" s="94" t="s">
        <v>330</v>
      </c>
      <c r="C344" s="94" t="s">
        <v>94</v>
      </c>
      <c r="D344" s="94" t="s">
        <v>80</v>
      </c>
      <c r="E344" s="94" t="s">
        <v>335</v>
      </c>
      <c r="F344" s="97" t="s">
        <v>114</v>
      </c>
      <c r="G344" s="92">
        <f>15+21.5</f>
        <v>36.5</v>
      </c>
    </row>
    <row r="345" spans="1:7" ht="15">
      <c r="A345" s="96" t="s">
        <v>334</v>
      </c>
      <c r="B345" s="94" t="s">
        <v>330</v>
      </c>
      <c r="C345" s="94" t="s">
        <v>60</v>
      </c>
      <c r="D345" s="94"/>
      <c r="E345" s="94"/>
      <c r="F345" s="93"/>
      <c r="G345" s="92">
        <f>G346</f>
        <v>524</v>
      </c>
    </row>
    <row r="346" spans="1:7" ht="15">
      <c r="A346" s="96" t="s">
        <v>53</v>
      </c>
      <c r="B346" s="94" t="s">
        <v>330</v>
      </c>
      <c r="C346" s="94" t="s">
        <v>60</v>
      </c>
      <c r="D346" s="94" t="s">
        <v>54</v>
      </c>
      <c r="E346" s="94"/>
      <c r="F346" s="93"/>
      <c r="G346" s="92">
        <f>G347</f>
        <v>524</v>
      </c>
    </row>
    <row r="347" spans="1:7" ht="30">
      <c r="A347" s="96" t="s">
        <v>333</v>
      </c>
      <c r="B347" s="94" t="s">
        <v>330</v>
      </c>
      <c r="C347" s="94" t="s">
        <v>60</v>
      </c>
      <c r="D347" s="94" t="s">
        <v>54</v>
      </c>
      <c r="E347" s="94" t="s">
        <v>332</v>
      </c>
      <c r="F347" s="93"/>
      <c r="G347" s="92">
        <f>G348</f>
        <v>524</v>
      </c>
    </row>
    <row r="348" spans="1:7" ht="30">
      <c r="A348" s="99" t="s">
        <v>331</v>
      </c>
      <c r="B348" s="94" t="s">
        <v>330</v>
      </c>
      <c r="C348" s="94" t="s">
        <v>60</v>
      </c>
      <c r="D348" s="94" t="s">
        <v>54</v>
      </c>
      <c r="E348" s="94" t="s">
        <v>329</v>
      </c>
      <c r="F348" s="93"/>
      <c r="G348" s="92">
        <f>G350+G349</f>
        <v>524</v>
      </c>
    </row>
    <row r="349" spans="1:7" ht="30">
      <c r="A349" s="98" t="s">
        <v>120</v>
      </c>
      <c r="B349" s="94" t="s">
        <v>330</v>
      </c>
      <c r="C349" s="94" t="s">
        <v>60</v>
      </c>
      <c r="D349" s="94" t="s">
        <v>54</v>
      </c>
      <c r="E349" s="94" t="s">
        <v>329</v>
      </c>
      <c r="F349" s="93" t="s">
        <v>119</v>
      </c>
      <c r="G349" s="92">
        <f>202.5-82.5</f>
        <v>120</v>
      </c>
    </row>
    <row r="350" spans="1:7" ht="30">
      <c r="A350" s="96" t="s">
        <v>118</v>
      </c>
      <c r="B350" s="94" t="s">
        <v>330</v>
      </c>
      <c r="C350" s="94" t="s">
        <v>60</v>
      </c>
      <c r="D350" s="94" t="s">
        <v>54</v>
      </c>
      <c r="E350" s="94" t="s">
        <v>329</v>
      </c>
      <c r="F350" s="93" t="s">
        <v>117</v>
      </c>
      <c r="G350" s="92">
        <f>594+25.5-202.5-13</f>
        <v>404</v>
      </c>
    </row>
    <row r="351" spans="1:7" ht="42.75">
      <c r="A351" s="111" t="s">
        <v>328</v>
      </c>
      <c r="B351" s="110" t="s">
        <v>315</v>
      </c>
      <c r="C351" s="125"/>
      <c r="D351" s="125"/>
      <c r="E351" s="125"/>
      <c r="F351" s="124"/>
      <c r="G351" s="109">
        <f>G352+G361</f>
        <v>34093.4</v>
      </c>
    </row>
    <row r="352" spans="1:7" ht="15">
      <c r="A352" s="96" t="s">
        <v>172</v>
      </c>
      <c r="B352" s="94" t="s">
        <v>315</v>
      </c>
      <c r="C352" s="94" t="s">
        <v>46</v>
      </c>
      <c r="D352" s="94"/>
      <c r="E352" s="94"/>
      <c r="F352" s="93"/>
      <c r="G352" s="92">
        <f>G353</f>
        <v>3216.6</v>
      </c>
    </row>
    <row r="353" spans="1:7" ht="15">
      <c r="A353" s="96" t="s">
        <v>41</v>
      </c>
      <c r="B353" s="94" t="s">
        <v>315</v>
      </c>
      <c r="C353" s="94" t="s">
        <v>46</v>
      </c>
      <c r="D353" s="94" t="s">
        <v>42</v>
      </c>
      <c r="E353" s="94"/>
      <c r="F353" s="93"/>
      <c r="G353" s="92">
        <f>G354+G359</f>
        <v>3216.6</v>
      </c>
    </row>
    <row r="354" spans="1:7" ht="15">
      <c r="A354" s="96" t="s">
        <v>171</v>
      </c>
      <c r="B354" s="94" t="s">
        <v>315</v>
      </c>
      <c r="C354" s="94" t="s">
        <v>46</v>
      </c>
      <c r="D354" s="94" t="s">
        <v>42</v>
      </c>
      <c r="E354" s="94" t="s">
        <v>170</v>
      </c>
      <c r="F354" s="93"/>
      <c r="G354" s="92">
        <f>G355+G357</f>
        <v>2973.6</v>
      </c>
    </row>
    <row r="355" spans="1:7" ht="30">
      <c r="A355" s="96" t="s">
        <v>125</v>
      </c>
      <c r="B355" s="94" t="s">
        <v>315</v>
      </c>
      <c r="C355" s="94" t="s">
        <v>46</v>
      </c>
      <c r="D355" s="94" t="s">
        <v>42</v>
      </c>
      <c r="E355" s="94" t="s">
        <v>169</v>
      </c>
      <c r="F355" s="93"/>
      <c r="G355" s="92">
        <f>G356</f>
        <v>2951</v>
      </c>
    </row>
    <row r="356" spans="1:7" ht="60">
      <c r="A356" s="98" t="s">
        <v>161</v>
      </c>
      <c r="B356" s="94" t="s">
        <v>315</v>
      </c>
      <c r="C356" s="94" t="s">
        <v>46</v>
      </c>
      <c r="D356" s="94" t="s">
        <v>42</v>
      </c>
      <c r="E356" s="94" t="s">
        <v>169</v>
      </c>
      <c r="F356" s="93" t="s">
        <v>159</v>
      </c>
      <c r="G356" s="92">
        <f>2826+243+125-243</f>
        <v>2951</v>
      </c>
    </row>
    <row r="357" spans="1:7" ht="30">
      <c r="A357" s="98" t="s">
        <v>149</v>
      </c>
      <c r="B357" s="94" t="s">
        <v>315</v>
      </c>
      <c r="C357" s="94" t="s">
        <v>46</v>
      </c>
      <c r="D357" s="94" t="s">
        <v>42</v>
      </c>
      <c r="E357" s="94" t="s">
        <v>168</v>
      </c>
      <c r="F357" s="93"/>
      <c r="G357" s="92">
        <f>G358</f>
        <v>22.6</v>
      </c>
    </row>
    <row r="358" spans="1:7" ht="23.25" customHeight="1">
      <c r="A358" s="98" t="s">
        <v>106</v>
      </c>
      <c r="B358" s="94" t="s">
        <v>315</v>
      </c>
      <c r="C358" s="94" t="s">
        <v>46</v>
      </c>
      <c r="D358" s="94" t="s">
        <v>42</v>
      </c>
      <c r="E358" s="94" t="s">
        <v>168</v>
      </c>
      <c r="F358" s="93" t="s">
        <v>103</v>
      </c>
      <c r="G358" s="92">
        <v>22.6</v>
      </c>
    </row>
    <row r="359" spans="1:7" ht="90">
      <c r="A359" s="95" t="s">
        <v>147</v>
      </c>
      <c r="B359" s="94" t="s">
        <v>315</v>
      </c>
      <c r="C359" s="94" t="s">
        <v>46</v>
      </c>
      <c r="D359" s="94" t="s">
        <v>42</v>
      </c>
      <c r="E359" s="104" t="s">
        <v>143</v>
      </c>
      <c r="F359" s="104" t="s">
        <v>146</v>
      </c>
      <c r="G359" s="92">
        <f>G360</f>
        <v>243</v>
      </c>
    </row>
    <row r="360" spans="1:7" ht="20.25" customHeight="1">
      <c r="A360" s="95" t="s">
        <v>106</v>
      </c>
      <c r="B360" s="94" t="s">
        <v>315</v>
      </c>
      <c r="C360" s="94" t="s">
        <v>46</v>
      </c>
      <c r="D360" s="94" t="s">
        <v>42</v>
      </c>
      <c r="E360" s="104" t="s">
        <v>143</v>
      </c>
      <c r="F360" s="103" t="s">
        <v>103</v>
      </c>
      <c r="G360" s="92">
        <v>243</v>
      </c>
    </row>
    <row r="361" spans="1:7" ht="15">
      <c r="A361" s="96" t="s">
        <v>113</v>
      </c>
      <c r="B361" s="94" t="s">
        <v>315</v>
      </c>
      <c r="C361" s="94" t="s">
        <v>16</v>
      </c>
      <c r="D361" s="94"/>
      <c r="E361" s="94"/>
      <c r="F361" s="93"/>
      <c r="G361" s="92">
        <f>G362+G383+G377</f>
        <v>30876.8</v>
      </c>
    </row>
    <row r="362" spans="1:7" ht="15">
      <c r="A362" s="96" t="s">
        <v>112</v>
      </c>
      <c r="B362" s="94" t="s">
        <v>315</v>
      </c>
      <c r="C362" s="94" t="s">
        <v>16</v>
      </c>
      <c r="D362" s="94" t="s">
        <v>14</v>
      </c>
      <c r="E362" s="94"/>
      <c r="F362" s="93"/>
      <c r="G362" s="92">
        <f>G363+G372</f>
        <v>19605.899999999998</v>
      </c>
    </row>
    <row r="363" spans="1:7" ht="20.25" customHeight="1">
      <c r="A363" s="96" t="s">
        <v>111</v>
      </c>
      <c r="B363" s="94" t="s">
        <v>315</v>
      </c>
      <c r="C363" s="94" t="s">
        <v>16</v>
      </c>
      <c r="D363" s="94" t="s">
        <v>14</v>
      </c>
      <c r="E363" s="94" t="s">
        <v>110</v>
      </c>
      <c r="F363" s="93"/>
      <c r="G363" s="92">
        <f>G364+G370</f>
        <v>19307.1</v>
      </c>
    </row>
    <row r="364" spans="1:7" ht="45">
      <c r="A364" s="96" t="s">
        <v>109</v>
      </c>
      <c r="B364" s="94" t="s">
        <v>315</v>
      </c>
      <c r="C364" s="94" t="s">
        <v>16</v>
      </c>
      <c r="D364" s="94" t="s">
        <v>14</v>
      </c>
      <c r="E364" s="94" t="s">
        <v>108</v>
      </c>
      <c r="F364" s="93"/>
      <c r="G364" s="92">
        <f>G365+G368</f>
        <v>19257.1</v>
      </c>
    </row>
    <row r="365" spans="1:7" ht="45">
      <c r="A365" s="96" t="s">
        <v>107</v>
      </c>
      <c r="B365" s="94" t="s">
        <v>315</v>
      </c>
      <c r="C365" s="94" t="s">
        <v>16</v>
      </c>
      <c r="D365" s="94" t="s">
        <v>14</v>
      </c>
      <c r="E365" s="94" t="s">
        <v>104</v>
      </c>
      <c r="F365" s="93"/>
      <c r="G365" s="92">
        <f>G366+G367</f>
        <v>18757.1</v>
      </c>
    </row>
    <row r="366" spans="1:7" ht="30">
      <c r="A366" s="96" t="s">
        <v>118</v>
      </c>
      <c r="B366" s="94" t="s">
        <v>315</v>
      </c>
      <c r="C366" s="94" t="s">
        <v>16</v>
      </c>
      <c r="D366" s="94" t="s">
        <v>14</v>
      </c>
      <c r="E366" s="94" t="s">
        <v>327</v>
      </c>
      <c r="F366" s="93" t="s">
        <v>117</v>
      </c>
      <c r="G366" s="92">
        <f>5500+2241</f>
        <v>7741</v>
      </c>
    </row>
    <row r="367" spans="1:7" ht="21" customHeight="1">
      <c r="A367" s="96" t="s">
        <v>106</v>
      </c>
      <c r="B367" s="94" t="s">
        <v>315</v>
      </c>
      <c r="C367" s="94" t="s">
        <v>16</v>
      </c>
      <c r="D367" s="94" t="s">
        <v>14</v>
      </c>
      <c r="E367" s="94" t="s">
        <v>327</v>
      </c>
      <c r="F367" s="93" t="s">
        <v>103</v>
      </c>
      <c r="G367" s="92">
        <f>500+9516.1+1000</f>
        <v>11016.1</v>
      </c>
    </row>
    <row r="368" spans="1:7" ht="45.75" customHeight="1">
      <c r="A368" s="96" t="s">
        <v>188</v>
      </c>
      <c r="B368" s="94" t="s">
        <v>315</v>
      </c>
      <c r="C368" s="94" t="s">
        <v>16</v>
      </c>
      <c r="D368" s="94" t="s">
        <v>14</v>
      </c>
      <c r="E368" s="94" t="s">
        <v>187</v>
      </c>
      <c r="F368" s="93"/>
      <c r="G368" s="92">
        <f>G369</f>
        <v>500</v>
      </c>
    </row>
    <row r="369" spans="1:7" ht="21" customHeight="1">
      <c r="A369" s="99" t="s">
        <v>106</v>
      </c>
      <c r="B369" s="94" t="s">
        <v>315</v>
      </c>
      <c r="C369" s="94" t="s">
        <v>16</v>
      </c>
      <c r="D369" s="94" t="s">
        <v>14</v>
      </c>
      <c r="E369" s="94" t="s">
        <v>186</v>
      </c>
      <c r="F369" s="93" t="s">
        <v>103</v>
      </c>
      <c r="G369" s="92">
        <v>500</v>
      </c>
    </row>
    <row r="370" spans="1:7" ht="45">
      <c r="A370" s="96" t="s">
        <v>326</v>
      </c>
      <c r="B370" s="94" t="s">
        <v>315</v>
      </c>
      <c r="C370" s="94" t="s">
        <v>16</v>
      </c>
      <c r="D370" s="94" t="s">
        <v>14</v>
      </c>
      <c r="E370" s="94" t="s">
        <v>325</v>
      </c>
      <c r="F370" s="93"/>
      <c r="G370" s="92">
        <f>G371</f>
        <v>50</v>
      </c>
    </row>
    <row r="371" spans="1:7" ht="30">
      <c r="A371" s="96" t="s">
        <v>118</v>
      </c>
      <c r="B371" s="94" t="s">
        <v>315</v>
      </c>
      <c r="C371" s="94" t="s">
        <v>16</v>
      </c>
      <c r="D371" s="94" t="s">
        <v>14</v>
      </c>
      <c r="E371" s="94" t="s">
        <v>324</v>
      </c>
      <c r="F371" s="93" t="s">
        <v>117</v>
      </c>
      <c r="G371" s="92">
        <v>50</v>
      </c>
    </row>
    <row r="372" spans="1:7" ht="60">
      <c r="A372" s="96" t="s">
        <v>323</v>
      </c>
      <c r="B372" s="94" t="s">
        <v>315</v>
      </c>
      <c r="C372" s="94" t="s">
        <v>16</v>
      </c>
      <c r="D372" s="94" t="s">
        <v>14</v>
      </c>
      <c r="E372" s="94" t="s">
        <v>182</v>
      </c>
      <c r="F372" s="93"/>
      <c r="G372" s="92">
        <f>G373+G375</f>
        <v>298.8</v>
      </c>
    </row>
    <row r="373" spans="1:7" ht="45">
      <c r="A373" s="96" t="s">
        <v>107</v>
      </c>
      <c r="B373" s="94" t="s">
        <v>315</v>
      </c>
      <c r="C373" s="94" t="s">
        <v>16</v>
      </c>
      <c r="D373" s="94" t="s">
        <v>14</v>
      </c>
      <c r="E373" s="94" t="s">
        <v>180</v>
      </c>
      <c r="F373" s="93"/>
      <c r="G373" s="92">
        <f>G374</f>
        <v>281.7</v>
      </c>
    </row>
    <row r="374" spans="1:7" ht="30">
      <c r="A374" s="96" t="s">
        <v>118</v>
      </c>
      <c r="B374" s="94" t="s">
        <v>315</v>
      </c>
      <c r="C374" s="94" t="s">
        <v>16</v>
      </c>
      <c r="D374" s="94" t="s">
        <v>14</v>
      </c>
      <c r="E374" s="94" t="s">
        <v>180</v>
      </c>
      <c r="F374" s="93" t="s">
        <v>117</v>
      </c>
      <c r="G374" s="92">
        <v>281.7</v>
      </c>
    </row>
    <row r="375" spans="1:7" ht="45">
      <c r="A375" s="96" t="s">
        <v>322</v>
      </c>
      <c r="B375" s="94" t="s">
        <v>315</v>
      </c>
      <c r="C375" s="94" t="s">
        <v>16</v>
      </c>
      <c r="D375" s="94" t="s">
        <v>14</v>
      </c>
      <c r="E375" s="94" t="s">
        <v>177</v>
      </c>
      <c r="F375" s="93"/>
      <c r="G375" s="92">
        <f>G376</f>
        <v>17.1</v>
      </c>
    </row>
    <row r="376" spans="1:7" ht="22.5" customHeight="1">
      <c r="A376" s="96" t="s">
        <v>106</v>
      </c>
      <c r="B376" s="94" t="s">
        <v>315</v>
      </c>
      <c r="C376" s="94" t="s">
        <v>16</v>
      </c>
      <c r="D376" s="94" t="s">
        <v>14</v>
      </c>
      <c r="E376" s="94" t="s">
        <v>177</v>
      </c>
      <c r="F376" s="93" t="s">
        <v>103</v>
      </c>
      <c r="G376" s="92">
        <v>17.1</v>
      </c>
    </row>
    <row r="377" spans="1:7" ht="15">
      <c r="A377" s="96" t="s">
        <v>11</v>
      </c>
      <c r="B377" s="94" t="s">
        <v>315</v>
      </c>
      <c r="C377" s="94" t="s">
        <v>16</v>
      </c>
      <c r="D377" s="94" t="s">
        <v>12</v>
      </c>
      <c r="E377" s="94"/>
      <c r="F377" s="93"/>
      <c r="G377" s="92">
        <f>G379+G381</f>
        <v>6896.8</v>
      </c>
    </row>
    <row r="378" spans="1:7" ht="45">
      <c r="A378" s="98" t="s">
        <v>321</v>
      </c>
      <c r="B378" s="94" t="s">
        <v>315</v>
      </c>
      <c r="C378" s="94" t="s">
        <v>16</v>
      </c>
      <c r="D378" s="94" t="s">
        <v>12</v>
      </c>
      <c r="E378" s="94" t="s">
        <v>320</v>
      </c>
      <c r="F378" s="93"/>
      <c r="G378" s="92">
        <f>G379</f>
        <v>6441.2</v>
      </c>
    </row>
    <row r="379" spans="1:7" ht="30">
      <c r="A379" s="96" t="s">
        <v>125</v>
      </c>
      <c r="B379" s="94" t="s">
        <v>315</v>
      </c>
      <c r="C379" s="94" t="s">
        <v>16</v>
      </c>
      <c r="D379" s="94" t="s">
        <v>12</v>
      </c>
      <c r="E379" s="94" t="s">
        <v>319</v>
      </c>
      <c r="F379" s="93"/>
      <c r="G379" s="92">
        <f>G380</f>
        <v>6441.2</v>
      </c>
    </row>
    <row r="380" spans="1:7" ht="60">
      <c r="A380" s="98" t="s">
        <v>161</v>
      </c>
      <c r="B380" s="94" t="s">
        <v>315</v>
      </c>
      <c r="C380" s="94" t="s">
        <v>16</v>
      </c>
      <c r="D380" s="94" t="s">
        <v>12</v>
      </c>
      <c r="E380" s="94" t="s">
        <v>319</v>
      </c>
      <c r="F380" s="93" t="s">
        <v>159</v>
      </c>
      <c r="G380" s="92">
        <f>6551-292.8+183</f>
        <v>6441.2</v>
      </c>
    </row>
    <row r="381" spans="1:7" ht="30">
      <c r="A381" s="98" t="s">
        <v>149</v>
      </c>
      <c r="B381" s="94" t="s">
        <v>315</v>
      </c>
      <c r="C381" s="94" t="s">
        <v>16</v>
      </c>
      <c r="D381" s="94" t="s">
        <v>12</v>
      </c>
      <c r="E381" s="94" t="s">
        <v>318</v>
      </c>
      <c r="F381" s="93"/>
      <c r="G381" s="92">
        <f>G382</f>
        <v>455.6</v>
      </c>
    </row>
    <row r="382" spans="1:7" ht="30">
      <c r="A382" s="98" t="s">
        <v>106</v>
      </c>
      <c r="B382" s="94" t="s">
        <v>315</v>
      </c>
      <c r="C382" s="94" t="s">
        <v>16</v>
      </c>
      <c r="D382" s="94" t="s">
        <v>12</v>
      </c>
      <c r="E382" s="94" t="s">
        <v>318</v>
      </c>
      <c r="F382" s="93" t="s">
        <v>103</v>
      </c>
      <c r="G382" s="92">
        <v>455.6</v>
      </c>
    </row>
    <row r="383" spans="1:7" ht="30">
      <c r="A383" s="96" t="s">
        <v>317</v>
      </c>
      <c r="B383" s="94" t="s">
        <v>315</v>
      </c>
      <c r="C383" s="94" t="s">
        <v>16</v>
      </c>
      <c r="D383" s="94" t="s">
        <v>10</v>
      </c>
      <c r="E383" s="94"/>
      <c r="F383" s="93"/>
      <c r="G383" s="92">
        <f>G384+G392</f>
        <v>4374.1</v>
      </c>
    </row>
    <row r="384" spans="1:7" ht="45">
      <c r="A384" s="99" t="s">
        <v>134</v>
      </c>
      <c r="B384" s="94" t="s">
        <v>315</v>
      </c>
      <c r="C384" s="94" t="s">
        <v>16</v>
      </c>
      <c r="D384" s="94" t="s">
        <v>10</v>
      </c>
      <c r="E384" s="94" t="s">
        <v>133</v>
      </c>
      <c r="F384" s="93"/>
      <c r="G384" s="92">
        <f>G385</f>
        <v>2304.7</v>
      </c>
    </row>
    <row r="385" spans="1:7" ht="15">
      <c r="A385" s="99" t="s">
        <v>132</v>
      </c>
      <c r="B385" s="94" t="s">
        <v>315</v>
      </c>
      <c r="C385" s="94" t="s">
        <v>16</v>
      </c>
      <c r="D385" s="94" t="s">
        <v>10</v>
      </c>
      <c r="E385" s="94" t="s">
        <v>127</v>
      </c>
      <c r="F385" s="93"/>
      <c r="G385" s="92">
        <f>G386+G389+G390+G391+G387+G388</f>
        <v>2304.7</v>
      </c>
    </row>
    <row r="386" spans="1:7" ht="15">
      <c r="A386" s="98" t="s">
        <v>124</v>
      </c>
      <c r="B386" s="94" t="s">
        <v>315</v>
      </c>
      <c r="C386" s="94" t="s">
        <v>16</v>
      </c>
      <c r="D386" s="94" t="s">
        <v>10</v>
      </c>
      <c r="E386" s="94" t="s">
        <v>127</v>
      </c>
      <c r="F386" s="97" t="s">
        <v>131</v>
      </c>
      <c r="G386" s="92">
        <f>1979+27</f>
        <v>2006</v>
      </c>
    </row>
    <row r="387" spans="1:7" ht="30">
      <c r="A387" s="98" t="s">
        <v>122</v>
      </c>
      <c r="B387" s="94" t="s">
        <v>315</v>
      </c>
      <c r="C387" s="94" t="s">
        <v>16</v>
      </c>
      <c r="D387" s="94" t="s">
        <v>10</v>
      </c>
      <c r="E387" s="94" t="s">
        <v>127</v>
      </c>
      <c r="F387" s="97" t="s">
        <v>130</v>
      </c>
      <c r="G387" s="92">
        <v>2</v>
      </c>
    </row>
    <row r="388" spans="1:7" ht="30">
      <c r="A388" s="98" t="s">
        <v>120</v>
      </c>
      <c r="B388" s="94" t="s">
        <v>315</v>
      </c>
      <c r="C388" s="94" t="s">
        <v>16</v>
      </c>
      <c r="D388" s="94" t="s">
        <v>10</v>
      </c>
      <c r="E388" s="94" t="s">
        <v>127</v>
      </c>
      <c r="F388" s="97" t="s">
        <v>119</v>
      </c>
      <c r="G388" s="92">
        <v>39</v>
      </c>
    </row>
    <row r="389" spans="1:7" ht="30">
      <c r="A389" s="96" t="s">
        <v>118</v>
      </c>
      <c r="B389" s="94" t="s">
        <v>315</v>
      </c>
      <c r="C389" s="94" t="s">
        <v>16</v>
      </c>
      <c r="D389" s="94" t="s">
        <v>10</v>
      </c>
      <c r="E389" s="94" t="s">
        <v>127</v>
      </c>
      <c r="F389" s="97" t="s">
        <v>117</v>
      </c>
      <c r="G389" s="92">
        <f>223+22.9-23.2</f>
        <v>222.70000000000002</v>
      </c>
    </row>
    <row r="390" spans="1:7" ht="30">
      <c r="A390" s="98" t="s">
        <v>129</v>
      </c>
      <c r="B390" s="94" t="s">
        <v>315</v>
      </c>
      <c r="C390" s="94" t="s">
        <v>16</v>
      </c>
      <c r="D390" s="94" t="s">
        <v>10</v>
      </c>
      <c r="E390" s="94" t="s">
        <v>127</v>
      </c>
      <c r="F390" s="97" t="s">
        <v>128</v>
      </c>
      <c r="G390" s="92">
        <v>35</v>
      </c>
    </row>
    <row r="391" spans="1:7" ht="30">
      <c r="A391" s="98" t="s">
        <v>116</v>
      </c>
      <c r="B391" s="94" t="s">
        <v>315</v>
      </c>
      <c r="C391" s="94" t="s">
        <v>16</v>
      </c>
      <c r="D391" s="94" t="s">
        <v>10</v>
      </c>
      <c r="E391" s="94" t="s">
        <v>127</v>
      </c>
      <c r="F391" s="97" t="s">
        <v>114</v>
      </c>
      <c r="G391" s="92">
        <v>0</v>
      </c>
    </row>
    <row r="392" spans="1:7" ht="90">
      <c r="A392" s="96" t="s">
        <v>126</v>
      </c>
      <c r="B392" s="94" t="s">
        <v>315</v>
      </c>
      <c r="C392" s="94" t="s">
        <v>16</v>
      </c>
      <c r="D392" s="94" t="s">
        <v>10</v>
      </c>
      <c r="E392" s="94" t="s">
        <v>316</v>
      </c>
      <c r="F392" s="93"/>
      <c r="G392" s="92">
        <f>G393</f>
        <v>2069.4</v>
      </c>
    </row>
    <row r="393" spans="1:7" ht="30">
      <c r="A393" s="96" t="s">
        <v>125</v>
      </c>
      <c r="B393" s="94" t="s">
        <v>315</v>
      </c>
      <c r="C393" s="94" t="s">
        <v>16</v>
      </c>
      <c r="D393" s="94" t="s">
        <v>10</v>
      </c>
      <c r="E393" s="94" t="s">
        <v>268</v>
      </c>
      <c r="F393" s="93"/>
      <c r="G393" s="92">
        <f>G394+G395+G396+G397+G398</f>
        <v>2069.4</v>
      </c>
    </row>
    <row r="394" spans="1:7" ht="15">
      <c r="A394" s="98" t="s">
        <v>124</v>
      </c>
      <c r="B394" s="94" t="s">
        <v>315</v>
      </c>
      <c r="C394" s="94" t="s">
        <v>16</v>
      </c>
      <c r="D394" s="94" t="s">
        <v>10</v>
      </c>
      <c r="E394" s="94" t="s">
        <v>268</v>
      </c>
      <c r="F394" s="97" t="s">
        <v>123</v>
      </c>
      <c r="G394" s="92">
        <f>1846+25</f>
        <v>1871</v>
      </c>
    </row>
    <row r="395" spans="1:7" ht="30">
      <c r="A395" s="98" t="s">
        <v>120</v>
      </c>
      <c r="B395" s="94" t="s">
        <v>315</v>
      </c>
      <c r="C395" s="94" t="s">
        <v>16</v>
      </c>
      <c r="D395" s="94" t="s">
        <v>10</v>
      </c>
      <c r="E395" s="94" t="s">
        <v>268</v>
      </c>
      <c r="F395" s="97" t="s">
        <v>119</v>
      </c>
      <c r="G395" s="92">
        <f>89+27.4</f>
        <v>116.4</v>
      </c>
    </row>
    <row r="396" spans="1:7" ht="30">
      <c r="A396" s="96" t="s">
        <v>118</v>
      </c>
      <c r="B396" s="94" t="s">
        <v>315</v>
      </c>
      <c r="C396" s="94" t="s">
        <v>16</v>
      </c>
      <c r="D396" s="94" t="s">
        <v>10</v>
      </c>
      <c r="E396" s="94" t="s">
        <v>268</v>
      </c>
      <c r="F396" s="97" t="s">
        <v>117</v>
      </c>
      <c r="G396" s="92">
        <v>78</v>
      </c>
    </row>
    <row r="397" spans="1:7" ht="30">
      <c r="A397" s="98" t="s">
        <v>129</v>
      </c>
      <c r="B397" s="94" t="s">
        <v>315</v>
      </c>
      <c r="C397" s="94" t="s">
        <v>16</v>
      </c>
      <c r="D397" s="94" t="s">
        <v>10</v>
      </c>
      <c r="E397" s="94" t="s">
        <v>268</v>
      </c>
      <c r="F397" s="97" t="s">
        <v>128</v>
      </c>
      <c r="G397" s="92">
        <v>0.9</v>
      </c>
    </row>
    <row r="398" spans="1:7" ht="30">
      <c r="A398" s="98" t="s">
        <v>116</v>
      </c>
      <c r="B398" s="94" t="s">
        <v>315</v>
      </c>
      <c r="C398" s="94" t="s">
        <v>16</v>
      </c>
      <c r="D398" s="94" t="s">
        <v>10</v>
      </c>
      <c r="E398" s="94" t="s">
        <v>268</v>
      </c>
      <c r="F398" s="97" t="s">
        <v>114</v>
      </c>
      <c r="G398" s="92">
        <v>3.1</v>
      </c>
    </row>
    <row r="399" spans="1:7" ht="42.75">
      <c r="A399" s="111" t="s">
        <v>314</v>
      </c>
      <c r="B399" s="110" t="s">
        <v>303</v>
      </c>
      <c r="C399" s="125"/>
      <c r="D399" s="125"/>
      <c r="E399" s="125"/>
      <c r="F399" s="124"/>
      <c r="G399" s="109">
        <f>G400+G415</f>
        <v>12366.94625</v>
      </c>
    </row>
    <row r="400" spans="1:7" ht="30">
      <c r="A400" s="96" t="s">
        <v>313</v>
      </c>
      <c r="B400" s="94" t="s">
        <v>303</v>
      </c>
      <c r="C400" s="94" t="s">
        <v>78</v>
      </c>
      <c r="D400" s="94"/>
      <c r="E400" s="94"/>
      <c r="F400" s="93"/>
      <c r="G400" s="92">
        <f>G401+G411</f>
        <v>12031.94625</v>
      </c>
    </row>
    <row r="401" spans="1:7" ht="47.25">
      <c r="A401" s="123" t="s">
        <v>73</v>
      </c>
      <c r="B401" s="94" t="s">
        <v>303</v>
      </c>
      <c r="C401" s="94" t="s">
        <v>78</v>
      </c>
      <c r="D401" s="94" t="s">
        <v>74</v>
      </c>
      <c r="E401" s="94"/>
      <c r="F401" s="93"/>
      <c r="G401" s="92">
        <f>G405+G408+G407+G409+G410+G406+G403</f>
        <v>11831.94625</v>
      </c>
    </row>
    <row r="402" spans="1:7" ht="15">
      <c r="A402" s="98" t="s">
        <v>294</v>
      </c>
      <c r="B402" s="94" t="s">
        <v>303</v>
      </c>
      <c r="C402" s="94" t="s">
        <v>78</v>
      </c>
      <c r="D402" s="94" t="s">
        <v>74</v>
      </c>
      <c r="E402" s="94" t="s">
        <v>293</v>
      </c>
      <c r="F402" s="97"/>
      <c r="G402" s="92">
        <f>G403</f>
        <v>70</v>
      </c>
    </row>
    <row r="403" spans="1:7" ht="15">
      <c r="A403" s="98" t="s">
        <v>312</v>
      </c>
      <c r="B403" s="94" t="s">
        <v>303</v>
      </c>
      <c r="C403" s="94" t="s">
        <v>78</v>
      </c>
      <c r="D403" s="94" t="s">
        <v>74</v>
      </c>
      <c r="E403" s="94" t="s">
        <v>293</v>
      </c>
      <c r="F403" s="97" t="s">
        <v>311</v>
      </c>
      <c r="G403" s="92">
        <v>70</v>
      </c>
    </row>
    <row r="404" spans="1:7" ht="24" customHeight="1">
      <c r="A404" s="96" t="s">
        <v>310</v>
      </c>
      <c r="B404" s="94" t="s">
        <v>303</v>
      </c>
      <c r="C404" s="94" t="s">
        <v>78</v>
      </c>
      <c r="D404" s="94" t="s">
        <v>74</v>
      </c>
      <c r="E404" s="94" t="s">
        <v>309</v>
      </c>
      <c r="F404" s="93"/>
      <c r="G404" s="92">
        <f>G405+G406+G407+G408+G409+G410</f>
        <v>11761.94625</v>
      </c>
    </row>
    <row r="405" spans="1:7" ht="15">
      <c r="A405" s="98" t="s">
        <v>124</v>
      </c>
      <c r="B405" s="94" t="s">
        <v>303</v>
      </c>
      <c r="C405" s="94" t="s">
        <v>78</v>
      </c>
      <c r="D405" s="94" t="s">
        <v>74</v>
      </c>
      <c r="E405" s="94" t="s">
        <v>309</v>
      </c>
      <c r="F405" s="97" t="s">
        <v>123</v>
      </c>
      <c r="G405" s="92">
        <f>((9059-212)*1.01375)+119.7+31</f>
        <v>9119.34625</v>
      </c>
    </row>
    <row r="406" spans="1:7" ht="30">
      <c r="A406" s="98" t="s">
        <v>122</v>
      </c>
      <c r="B406" s="94" t="s">
        <v>303</v>
      </c>
      <c r="C406" s="94" t="s">
        <v>78</v>
      </c>
      <c r="D406" s="94" t="s">
        <v>74</v>
      </c>
      <c r="E406" s="94" t="s">
        <v>309</v>
      </c>
      <c r="F406" s="97" t="s">
        <v>121</v>
      </c>
      <c r="G406" s="92">
        <v>0</v>
      </c>
    </row>
    <row r="407" spans="1:7" ht="30">
      <c r="A407" s="98" t="s">
        <v>120</v>
      </c>
      <c r="B407" s="94" t="s">
        <v>303</v>
      </c>
      <c r="C407" s="94" t="s">
        <v>78</v>
      </c>
      <c r="D407" s="94" t="s">
        <v>74</v>
      </c>
      <c r="E407" s="94" t="s">
        <v>309</v>
      </c>
      <c r="F407" s="97" t="s">
        <v>119</v>
      </c>
      <c r="G407" s="92">
        <f>388+26.3</f>
        <v>414.3</v>
      </c>
    </row>
    <row r="408" spans="1:7" ht="30">
      <c r="A408" s="96" t="s">
        <v>118</v>
      </c>
      <c r="B408" s="94" t="s">
        <v>303</v>
      </c>
      <c r="C408" s="94" t="s">
        <v>78</v>
      </c>
      <c r="D408" s="94" t="s">
        <v>74</v>
      </c>
      <c r="E408" s="94" t="s">
        <v>309</v>
      </c>
      <c r="F408" s="97" t="s">
        <v>117</v>
      </c>
      <c r="G408" s="92">
        <f>2250.3+41.6-700+531.4</f>
        <v>2123.3</v>
      </c>
    </row>
    <row r="409" spans="1:7" ht="30">
      <c r="A409" s="98" t="s">
        <v>129</v>
      </c>
      <c r="B409" s="94" t="s">
        <v>303</v>
      </c>
      <c r="C409" s="94" t="s">
        <v>78</v>
      </c>
      <c r="D409" s="94" t="s">
        <v>74</v>
      </c>
      <c r="E409" s="94" t="s">
        <v>309</v>
      </c>
      <c r="F409" s="97" t="s">
        <v>128</v>
      </c>
      <c r="G409" s="92">
        <v>96</v>
      </c>
    </row>
    <row r="410" spans="1:7" ht="30">
      <c r="A410" s="98" t="s">
        <v>116</v>
      </c>
      <c r="B410" s="94" t="s">
        <v>303</v>
      </c>
      <c r="C410" s="94" t="s">
        <v>78</v>
      </c>
      <c r="D410" s="94" t="s">
        <v>74</v>
      </c>
      <c r="E410" s="94" t="s">
        <v>309</v>
      </c>
      <c r="F410" s="97" t="s">
        <v>114</v>
      </c>
      <c r="G410" s="92">
        <v>9</v>
      </c>
    </row>
    <row r="411" spans="1:7" ht="30">
      <c r="A411" s="96" t="s">
        <v>308</v>
      </c>
      <c r="B411" s="94" t="s">
        <v>303</v>
      </c>
      <c r="C411" s="94" t="s">
        <v>78</v>
      </c>
      <c r="D411" s="94" t="s">
        <v>74</v>
      </c>
      <c r="E411" s="94" t="s">
        <v>207</v>
      </c>
      <c r="F411" s="93"/>
      <c r="G411" s="92">
        <f>G412</f>
        <v>200</v>
      </c>
    </row>
    <row r="412" spans="1:7" ht="60">
      <c r="A412" s="99" t="s">
        <v>307</v>
      </c>
      <c r="B412" s="94" t="s">
        <v>303</v>
      </c>
      <c r="C412" s="94" t="s">
        <v>78</v>
      </c>
      <c r="D412" s="94" t="s">
        <v>74</v>
      </c>
      <c r="E412" s="94" t="s">
        <v>306</v>
      </c>
      <c r="F412" s="93"/>
      <c r="G412" s="92">
        <f>G413</f>
        <v>200</v>
      </c>
    </row>
    <row r="413" spans="1:7" ht="30">
      <c r="A413" s="96" t="s">
        <v>118</v>
      </c>
      <c r="B413" s="94" t="s">
        <v>303</v>
      </c>
      <c r="C413" s="94" t="s">
        <v>78</v>
      </c>
      <c r="D413" s="94" t="s">
        <v>74</v>
      </c>
      <c r="E413" s="94" t="s">
        <v>306</v>
      </c>
      <c r="F413" s="93" t="s">
        <v>117</v>
      </c>
      <c r="G413" s="92">
        <v>200</v>
      </c>
    </row>
    <row r="414" spans="1:7" ht="15">
      <c r="A414" s="96" t="s">
        <v>175</v>
      </c>
      <c r="B414" s="94" t="s">
        <v>303</v>
      </c>
      <c r="C414" s="94" t="s">
        <v>72</v>
      </c>
      <c r="D414" s="94"/>
      <c r="E414" s="94"/>
      <c r="F414" s="93"/>
      <c r="G414" s="92">
        <f>G415</f>
        <v>335</v>
      </c>
    </row>
    <row r="415" spans="1:7" ht="15">
      <c r="A415" s="96" t="s">
        <v>305</v>
      </c>
      <c r="B415" s="94" t="s">
        <v>303</v>
      </c>
      <c r="C415" s="94" t="s">
        <v>72</v>
      </c>
      <c r="D415" s="94" t="s">
        <v>68</v>
      </c>
      <c r="E415" s="94"/>
      <c r="F415" s="93"/>
      <c r="G415" s="92">
        <f>G416</f>
        <v>335</v>
      </c>
    </row>
    <row r="416" spans="1:7" ht="30">
      <c r="A416" s="96" t="s">
        <v>304</v>
      </c>
      <c r="B416" s="94" t="s">
        <v>303</v>
      </c>
      <c r="C416" s="94" t="s">
        <v>72</v>
      </c>
      <c r="D416" s="94" t="s">
        <v>68</v>
      </c>
      <c r="E416" s="94" t="s">
        <v>302</v>
      </c>
      <c r="F416" s="93"/>
      <c r="G416" s="92">
        <f>G417</f>
        <v>335</v>
      </c>
    </row>
    <row r="417" spans="1:7" ht="30">
      <c r="A417" s="96" t="s">
        <v>118</v>
      </c>
      <c r="B417" s="94" t="s">
        <v>303</v>
      </c>
      <c r="C417" s="94" t="s">
        <v>72</v>
      </c>
      <c r="D417" s="94" t="s">
        <v>68</v>
      </c>
      <c r="E417" s="94" t="s">
        <v>302</v>
      </c>
      <c r="F417" s="93" t="s">
        <v>117</v>
      </c>
      <c r="G417" s="92">
        <v>335</v>
      </c>
    </row>
    <row r="418" spans="1:7" ht="42.75">
      <c r="A418" s="111" t="s">
        <v>301</v>
      </c>
      <c r="B418" s="110" t="s">
        <v>178</v>
      </c>
      <c r="C418" s="94"/>
      <c r="D418" s="94"/>
      <c r="E418" s="94"/>
      <c r="F418" s="93"/>
      <c r="G418" s="109">
        <f>G419+G566+G582+G559</f>
        <v>678510</v>
      </c>
    </row>
    <row r="419" spans="1:7" ht="15">
      <c r="A419" s="96" t="s">
        <v>172</v>
      </c>
      <c r="B419" s="94" t="s">
        <v>178</v>
      </c>
      <c r="C419" s="94" t="s">
        <v>46</v>
      </c>
      <c r="D419" s="94"/>
      <c r="E419" s="94"/>
      <c r="F419" s="93"/>
      <c r="G419" s="92">
        <f>G420+G430+G465+G473</f>
        <v>630255.1</v>
      </c>
    </row>
    <row r="420" spans="1:7" ht="15">
      <c r="A420" s="96" t="s">
        <v>43</v>
      </c>
      <c r="B420" s="94" t="s">
        <v>178</v>
      </c>
      <c r="C420" s="94" t="s">
        <v>46</v>
      </c>
      <c r="D420" s="94" t="s">
        <v>44</v>
      </c>
      <c r="E420" s="94"/>
      <c r="F420" s="93"/>
      <c r="G420" s="92">
        <f>G421+G427</f>
        <v>212065.3</v>
      </c>
    </row>
    <row r="421" spans="1:7" ht="15">
      <c r="A421" s="96" t="s">
        <v>300</v>
      </c>
      <c r="B421" s="94" t="s">
        <v>178</v>
      </c>
      <c r="C421" s="94" t="s">
        <v>46</v>
      </c>
      <c r="D421" s="94" t="s">
        <v>44</v>
      </c>
      <c r="E421" s="94" t="s">
        <v>299</v>
      </c>
      <c r="F421" s="93"/>
      <c r="G421" s="92">
        <f>G422+G425</f>
        <v>211647.8</v>
      </c>
    </row>
    <row r="422" spans="1:7" ht="30">
      <c r="A422" s="96" t="s">
        <v>125</v>
      </c>
      <c r="B422" s="94" t="s">
        <v>178</v>
      </c>
      <c r="C422" s="94" t="s">
        <v>46</v>
      </c>
      <c r="D422" s="94" t="s">
        <v>44</v>
      </c>
      <c r="E422" s="94" t="s">
        <v>298</v>
      </c>
      <c r="F422" s="93"/>
      <c r="G422" s="92">
        <f>G423+G424</f>
        <v>203500.9</v>
      </c>
    </row>
    <row r="423" spans="1:7" ht="60">
      <c r="A423" s="98" t="s">
        <v>161</v>
      </c>
      <c r="B423" s="94" t="s">
        <v>178</v>
      </c>
      <c r="C423" s="94" t="s">
        <v>46</v>
      </c>
      <c r="D423" s="94" t="s">
        <v>44</v>
      </c>
      <c r="E423" s="94" t="s">
        <v>298</v>
      </c>
      <c r="F423" s="97" t="s">
        <v>159</v>
      </c>
      <c r="G423" s="92">
        <f>215723-340.1-3865.5-8356.6</f>
        <v>203160.8</v>
      </c>
    </row>
    <row r="424" spans="1:7" ht="30">
      <c r="A424" s="96" t="s">
        <v>106</v>
      </c>
      <c r="B424" s="94" t="s">
        <v>178</v>
      </c>
      <c r="C424" s="94" t="s">
        <v>46</v>
      </c>
      <c r="D424" s="94" t="s">
        <v>44</v>
      </c>
      <c r="E424" s="94" t="s">
        <v>298</v>
      </c>
      <c r="F424" s="97" t="s">
        <v>103</v>
      </c>
      <c r="G424" s="92">
        <v>340.1</v>
      </c>
    </row>
    <row r="425" spans="1:7" ht="30">
      <c r="A425" s="98" t="s">
        <v>149</v>
      </c>
      <c r="B425" s="94" t="s">
        <v>178</v>
      </c>
      <c r="C425" s="94" t="s">
        <v>46</v>
      </c>
      <c r="D425" s="94" t="s">
        <v>44</v>
      </c>
      <c r="E425" s="94" t="s">
        <v>297</v>
      </c>
      <c r="F425" s="97"/>
      <c r="G425" s="92">
        <f>G426</f>
        <v>8146.9</v>
      </c>
    </row>
    <row r="426" spans="1:7" ht="30">
      <c r="A426" s="96" t="s">
        <v>106</v>
      </c>
      <c r="B426" s="94" t="s">
        <v>178</v>
      </c>
      <c r="C426" s="94" t="s">
        <v>46</v>
      </c>
      <c r="D426" s="94" t="s">
        <v>44</v>
      </c>
      <c r="E426" s="94" t="s">
        <v>297</v>
      </c>
      <c r="F426" s="97" t="s">
        <v>103</v>
      </c>
      <c r="G426" s="92">
        <v>8146.9</v>
      </c>
    </row>
    <row r="427" spans="1:7" ht="105">
      <c r="A427" s="96" t="s">
        <v>196</v>
      </c>
      <c r="B427" s="94" t="s">
        <v>178</v>
      </c>
      <c r="C427" s="94" t="s">
        <v>46</v>
      </c>
      <c r="D427" s="94" t="s">
        <v>44</v>
      </c>
      <c r="E427" s="94" t="s">
        <v>195</v>
      </c>
      <c r="F427" s="93"/>
      <c r="G427" s="92">
        <f>G428</f>
        <v>417.5</v>
      </c>
    </row>
    <row r="428" spans="1:7" ht="45">
      <c r="A428" s="122" t="s">
        <v>296</v>
      </c>
      <c r="B428" s="94" t="s">
        <v>178</v>
      </c>
      <c r="C428" s="94" t="s">
        <v>46</v>
      </c>
      <c r="D428" s="94" t="s">
        <v>44</v>
      </c>
      <c r="E428" s="94" t="s">
        <v>295</v>
      </c>
      <c r="F428" s="93"/>
      <c r="G428" s="92">
        <f>G429</f>
        <v>417.5</v>
      </c>
    </row>
    <row r="429" spans="1:7" ht="18.75" customHeight="1">
      <c r="A429" s="96" t="s">
        <v>106</v>
      </c>
      <c r="B429" s="94" t="s">
        <v>178</v>
      </c>
      <c r="C429" s="94" t="s">
        <v>46</v>
      </c>
      <c r="D429" s="94" t="s">
        <v>44</v>
      </c>
      <c r="E429" s="94" t="s">
        <v>295</v>
      </c>
      <c r="F429" s="93" t="s">
        <v>103</v>
      </c>
      <c r="G429" s="92">
        <f>393.9+23.6</f>
        <v>417.5</v>
      </c>
    </row>
    <row r="430" spans="1:7" ht="15">
      <c r="A430" s="96" t="s">
        <v>41</v>
      </c>
      <c r="B430" s="94" t="s">
        <v>178</v>
      </c>
      <c r="C430" s="94" t="s">
        <v>46</v>
      </c>
      <c r="D430" s="94" t="s">
        <v>42</v>
      </c>
      <c r="E430" s="94"/>
      <c r="F430" s="93"/>
      <c r="G430" s="92">
        <f>G433+G442+G448+G463+G431</f>
        <v>355315.19999999995</v>
      </c>
    </row>
    <row r="431" spans="1:7" ht="15">
      <c r="A431" s="96" t="s">
        <v>294</v>
      </c>
      <c r="B431" s="94" t="s">
        <v>178</v>
      </c>
      <c r="C431" s="94" t="s">
        <v>46</v>
      </c>
      <c r="D431" s="94" t="s">
        <v>42</v>
      </c>
      <c r="E431" s="94" t="s">
        <v>293</v>
      </c>
      <c r="F431" s="93"/>
      <c r="G431" s="92">
        <f>G432</f>
        <v>96.1</v>
      </c>
    </row>
    <row r="432" spans="1:7" ht="30">
      <c r="A432" s="96" t="s">
        <v>106</v>
      </c>
      <c r="B432" s="94" t="s">
        <v>178</v>
      </c>
      <c r="C432" s="94" t="s">
        <v>46</v>
      </c>
      <c r="D432" s="94" t="s">
        <v>42</v>
      </c>
      <c r="E432" s="94" t="s">
        <v>293</v>
      </c>
      <c r="F432" s="93" t="s">
        <v>103</v>
      </c>
      <c r="G432" s="92">
        <v>96.1</v>
      </c>
    </row>
    <row r="433" spans="1:7" ht="30">
      <c r="A433" s="96" t="s">
        <v>292</v>
      </c>
      <c r="B433" s="94" t="s">
        <v>178</v>
      </c>
      <c r="C433" s="94" t="s">
        <v>46</v>
      </c>
      <c r="D433" s="94" t="s">
        <v>42</v>
      </c>
      <c r="E433" s="94" t="s">
        <v>291</v>
      </c>
      <c r="F433" s="93"/>
      <c r="G433" s="92">
        <f>G434+G439</f>
        <v>63542.6</v>
      </c>
    </row>
    <row r="434" spans="1:7" ht="30">
      <c r="A434" s="96" t="s">
        <v>125</v>
      </c>
      <c r="B434" s="94" t="s">
        <v>178</v>
      </c>
      <c r="C434" s="94" t="s">
        <v>46</v>
      </c>
      <c r="D434" s="94" t="s">
        <v>42</v>
      </c>
      <c r="E434" s="94" t="s">
        <v>290</v>
      </c>
      <c r="F434" s="93"/>
      <c r="G434" s="92">
        <f>G435+G437+G436+G438</f>
        <v>51980</v>
      </c>
    </row>
    <row r="435" spans="1:7" ht="60">
      <c r="A435" s="98" t="s">
        <v>151</v>
      </c>
      <c r="B435" s="94" t="s">
        <v>178</v>
      </c>
      <c r="C435" s="94" t="s">
        <v>46</v>
      </c>
      <c r="D435" s="94" t="s">
        <v>42</v>
      </c>
      <c r="E435" s="94" t="s">
        <v>290</v>
      </c>
      <c r="F435" s="97" t="s">
        <v>144</v>
      </c>
      <c r="G435" s="92">
        <f>8460-60-600.7</f>
        <v>7799.3</v>
      </c>
    </row>
    <row r="436" spans="1:7" ht="30">
      <c r="A436" s="98" t="s">
        <v>139</v>
      </c>
      <c r="B436" s="94" t="s">
        <v>178</v>
      </c>
      <c r="C436" s="94" t="s">
        <v>46</v>
      </c>
      <c r="D436" s="94" t="s">
        <v>42</v>
      </c>
      <c r="E436" s="94" t="s">
        <v>290</v>
      </c>
      <c r="F436" s="97" t="s">
        <v>138</v>
      </c>
      <c r="G436" s="92">
        <v>60</v>
      </c>
    </row>
    <row r="437" spans="1:7" ht="60">
      <c r="A437" s="98" t="s">
        <v>161</v>
      </c>
      <c r="B437" s="94" t="s">
        <v>178</v>
      </c>
      <c r="C437" s="94" t="s">
        <v>46</v>
      </c>
      <c r="D437" s="94" t="s">
        <v>42</v>
      </c>
      <c r="E437" s="94" t="s">
        <v>290</v>
      </c>
      <c r="F437" s="93" t="s">
        <v>159</v>
      </c>
      <c r="G437" s="92">
        <f>46859-481.3-2738.3</f>
        <v>43639.399999999994</v>
      </c>
    </row>
    <row r="438" spans="1:7" ht="30">
      <c r="A438" s="98" t="s">
        <v>106</v>
      </c>
      <c r="B438" s="94" t="s">
        <v>178</v>
      </c>
      <c r="C438" s="94" t="s">
        <v>46</v>
      </c>
      <c r="D438" s="94" t="s">
        <v>42</v>
      </c>
      <c r="E438" s="94" t="s">
        <v>290</v>
      </c>
      <c r="F438" s="93" t="s">
        <v>103</v>
      </c>
      <c r="G438" s="92">
        <v>481.3</v>
      </c>
    </row>
    <row r="439" spans="1:7" ht="30">
      <c r="A439" s="98" t="s">
        <v>149</v>
      </c>
      <c r="B439" s="94" t="s">
        <v>178</v>
      </c>
      <c r="C439" s="94" t="s">
        <v>46</v>
      </c>
      <c r="D439" s="94" t="s">
        <v>42</v>
      </c>
      <c r="E439" s="94" t="s">
        <v>289</v>
      </c>
      <c r="F439" s="93"/>
      <c r="G439" s="92">
        <f>G440+G441</f>
        <v>11562.6</v>
      </c>
    </row>
    <row r="440" spans="1:7" ht="30">
      <c r="A440" s="98" t="s">
        <v>139</v>
      </c>
      <c r="B440" s="94" t="s">
        <v>178</v>
      </c>
      <c r="C440" s="94" t="s">
        <v>46</v>
      </c>
      <c r="D440" s="94" t="s">
        <v>42</v>
      </c>
      <c r="E440" s="94" t="s">
        <v>289</v>
      </c>
      <c r="F440" s="93" t="s">
        <v>138</v>
      </c>
      <c r="G440" s="92">
        <v>1250.6</v>
      </c>
    </row>
    <row r="441" spans="1:7" ht="30">
      <c r="A441" s="98" t="s">
        <v>106</v>
      </c>
      <c r="B441" s="94" t="s">
        <v>178</v>
      </c>
      <c r="C441" s="94" t="s">
        <v>46</v>
      </c>
      <c r="D441" s="94" t="s">
        <v>42</v>
      </c>
      <c r="E441" s="94" t="s">
        <v>289</v>
      </c>
      <c r="F441" s="93" t="s">
        <v>103</v>
      </c>
      <c r="G441" s="92">
        <v>10312</v>
      </c>
    </row>
    <row r="442" spans="1:7" ht="15">
      <c r="A442" s="96" t="s">
        <v>171</v>
      </c>
      <c r="B442" s="94" t="s">
        <v>178</v>
      </c>
      <c r="C442" s="94" t="s">
        <v>46</v>
      </c>
      <c r="D442" s="94" t="s">
        <v>42</v>
      </c>
      <c r="E442" s="94" t="s">
        <v>170</v>
      </c>
      <c r="F442" s="93"/>
      <c r="G442" s="92">
        <f>G443+G446</f>
        <v>48391.299999999996</v>
      </c>
    </row>
    <row r="443" spans="1:7" ht="30">
      <c r="A443" s="96" t="s">
        <v>125</v>
      </c>
      <c r="B443" s="94" t="s">
        <v>178</v>
      </c>
      <c r="C443" s="94" t="s">
        <v>46</v>
      </c>
      <c r="D443" s="94" t="s">
        <v>42</v>
      </c>
      <c r="E443" s="94" t="s">
        <v>169</v>
      </c>
      <c r="F443" s="93"/>
      <c r="G443" s="92">
        <f>G444+G445</f>
        <v>46551.1</v>
      </c>
    </row>
    <row r="444" spans="1:7" ht="60">
      <c r="A444" s="98" t="s">
        <v>161</v>
      </c>
      <c r="B444" s="94" t="s">
        <v>178</v>
      </c>
      <c r="C444" s="94" t="s">
        <v>46</v>
      </c>
      <c r="D444" s="94" t="s">
        <v>42</v>
      </c>
      <c r="E444" s="94" t="s">
        <v>169</v>
      </c>
      <c r="F444" s="93" t="s">
        <v>159</v>
      </c>
      <c r="G444" s="92">
        <f>46795-89-243.9</f>
        <v>46462.1</v>
      </c>
    </row>
    <row r="445" spans="1:7" ht="30">
      <c r="A445" s="98" t="s">
        <v>106</v>
      </c>
      <c r="B445" s="94" t="s">
        <v>178</v>
      </c>
      <c r="C445" s="94" t="s">
        <v>46</v>
      </c>
      <c r="D445" s="94" t="s">
        <v>42</v>
      </c>
      <c r="E445" s="94" t="s">
        <v>169</v>
      </c>
      <c r="F445" s="93" t="s">
        <v>103</v>
      </c>
      <c r="G445" s="92">
        <v>89</v>
      </c>
    </row>
    <row r="446" spans="1:7" ht="30">
      <c r="A446" s="98" t="s">
        <v>149</v>
      </c>
      <c r="B446" s="94" t="s">
        <v>178</v>
      </c>
      <c r="C446" s="94" t="s">
        <v>46</v>
      </c>
      <c r="D446" s="94" t="s">
        <v>42</v>
      </c>
      <c r="E446" s="94" t="s">
        <v>168</v>
      </c>
      <c r="F446" s="93"/>
      <c r="G446" s="92">
        <f>G447</f>
        <v>1840.2</v>
      </c>
    </row>
    <row r="447" spans="1:7" ht="30">
      <c r="A447" s="98" t="s">
        <v>106</v>
      </c>
      <c r="B447" s="94" t="s">
        <v>178</v>
      </c>
      <c r="C447" s="94" t="s">
        <v>46</v>
      </c>
      <c r="D447" s="94" t="s">
        <v>42</v>
      </c>
      <c r="E447" s="94" t="s">
        <v>168</v>
      </c>
      <c r="F447" s="93" t="s">
        <v>103</v>
      </c>
      <c r="G447" s="92">
        <v>1840.2</v>
      </c>
    </row>
    <row r="448" spans="1:7" ht="30">
      <c r="A448" s="96" t="s">
        <v>204</v>
      </c>
      <c r="B448" s="94" t="s">
        <v>178</v>
      </c>
      <c r="C448" s="94" t="s">
        <v>46</v>
      </c>
      <c r="D448" s="94" t="s">
        <v>42</v>
      </c>
      <c r="E448" s="94" t="s">
        <v>203</v>
      </c>
      <c r="F448" s="93"/>
      <c r="G448" s="92">
        <f>G449+G456</f>
        <v>239336.19999999998</v>
      </c>
    </row>
    <row r="449" spans="1:7" ht="30">
      <c r="A449" s="96" t="s">
        <v>288</v>
      </c>
      <c r="B449" s="94" t="s">
        <v>178</v>
      </c>
      <c r="C449" s="94" t="s">
        <v>46</v>
      </c>
      <c r="D449" s="94" t="s">
        <v>42</v>
      </c>
      <c r="E449" s="94" t="s">
        <v>287</v>
      </c>
      <c r="F449" s="93"/>
      <c r="G449" s="92">
        <f>G453+G450</f>
        <v>7199.5</v>
      </c>
    </row>
    <row r="450" spans="1:7" ht="45">
      <c r="A450" s="96" t="s">
        <v>285</v>
      </c>
      <c r="B450" s="94" t="s">
        <v>178</v>
      </c>
      <c r="C450" s="94" t="s">
        <v>46</v>
      </c>
      <c r="D450" s="94" t="s">
        <v>42</v>
      </c>
      <c r="E450" s="94" t="s">
        <v>286</v>
      </c>
      <c r="F450" s="93"/>
      <c r="G450" s="92">
        <f>G451+G452</f>
        <v>1687.4</v>
      </c>
    </row>
    <row r="451" spans="1:7" ht="30">
      <c r="A451" s="98" t="s">
        <v>139</v>
      </c>
      <c r="B451" s="94" t="s">
        <v>178</v>
      </c>
      <c r="C451" s="94" t="s">
        <v>46</v>
      </c>
      <c r="D451" s="94" t="s">
        <v>42</v>
      </c>
      <c r="E451" s="94" t="s">
        <v>286</v>
      </c>
      <c r="F451" s="93" t="s">
        <v>138</v>
      </c>
      <c r="G451" s="92">
        <v>195.7</v>
      </c>
    </row>
    <row r="452" spans="1:7" ht="30">
      <c r="A452" s="98" t="s">
        <v>106</v>
      </c>
      <c r="B452" s="94" t="s">
        <v>178</v>
      </c>
      <c r="C452" s="94" t="s">
        <v>46</v>
      </c>
      <c r="D452" s="94" t="s">
        <v>42</v>
      </c>
      <c r="E452" s="94" t="s">
        <v>286</v>
      </c>
      <c r="F452" s="93" t="s">
        <v>103</v>
      </c>
      <c r="G452" s="92">
        <v>1491.7</v>
      </c>
    </row>
    <row r="453" spans="1:7" ht="45">
      <c r="A453" s="96" t="s">
        <v>285</v>
      </c>
      <c r="B453" s="94" t="s">
        <v>178</v>
      </c>
      <c r="C453" s="94" t="s">
        <v>46</v>
      </c>
      <c r="D453" s="94" t="s">
        <v>42</v>
      </c>
      <c r="E453" s="94" t="s">
        <v>284</v>
      </c>
      <c r="F453" s="93"/>
      <c r="G453" s="92">
        <f>G454+G455</f>
        <v>5512.1</v>
      </c>
    </row>
    <row r="454" spans="1:7" ht="30">
      <c r="A454" s="98" t="s">
        <v>139</v>
      </c>
      <c r="B454" s="94" t="s">
        <v>178</v>
      </c>
      <c r="C454" s="94" t="s">
        <v>46</v>
      </c>
      <c r="D454" s="94" t="s">
        <v>42</v>
      </c>
      <c r="E454" s="94" t="s">
        <v>284</v>
      </c>
      <c r="F454" s="93" t="s">
        <v>138</v>
      </c>
      <c r="G454" s="92">
        <f>835.1-195.7</f>
        <v>639.4000000000001</v>
      </c>
    </row>
    <row r="455" spans="1:7" ht="30">
      <c r="A455" s="98" t="s">
        <v>106</v>
      </c>
      <c r="B455" s="94" t="s">
        <v>178</v>
      </c>
      <c r="C455" s="94" t="s">
        <v>46</v>
      </c>
      <c r="D455" s="94" t="s">
        <v>42</v>
      </c>
      <c r="E455" s="94" t="s">
        <v>284</v>
      </c>
      <c r="F455" s="93" t="s">
        <v>103</v>
      </c>
      <c r="G455" s="92">
        <f>6364.4-1491.7</f>
        <v>4872.7</v>
      </c>
    </row>
    <row r="456" spans="1:7" ht="45">
      <c r="A456" s="96" t="s">
        <v>283</v>
      </c>
      <c r="B456" s="94" t="s">
        <v>178</v>
      </c>
      <c r="C456" s="94" t="s">
        <v>46</v>
      </c>
      <c r="D456" s="94" t="s">
        <v>42</v>
      </c>
      <c r="E456" s="94" t="s">
        <v>278</v>
      </c>
      <c r="F456" s="93"/>
      <c r="G456" s="92">
        <f>G457+G460</f>
        <v>232136.69999999998</v>
      </c>
    </row>
    <row r="457" spans="1:7" ht="15">
      <c r="A457" s="96" t="s">
        <v>282</v>
      </c>
      <c r="B457" s="94" t="s">
        <v>178</v>
      </c>
      <c r="C457" s="94" t="s">
        <v>46</v>
      </c>
      <c r="D457" s="94" t="s">
        <v>42</v>
      </c>
      <c r="E457" s="94" t="s">
        <v>278</v>
      </c>
      <c r="F457" s="93" t="s">
        <v>281</v>
      </c>
      <c r="G457" s="92">
        <f>G458+G459</f>
        <v>23794.899999999998</v>
      </c>
    </row>
    <row r="458" spans="1:7" ht="60">
      <c r="A458" s="98" t="s">
        <v>151</v>
      </c>
      <c r="B458" s="94" t="s">
        <v>178</v>
      </c>
      <c r="C458" s="94" t="s">
        <v>46</v>
      </c>
      <c r="D458" s="94" t="s">
        <v>42</v>
      </c>
      <c r="E458" s="94" t="s">
        <v>278</v>
      </c>
      <c r="F458" s="93" t="s">
        <v>144</v>
      </c>
      <c r="G458" s="92">
        <f>22655.3-932.9+1832.5</f>
        <v>23554.899999999998</v>
      </c>
    </row>
    <row r="459" spans="1:7" ht="30">
      <c r="A459" s="98" t="s">
        <v>139</v>
      </c>
      <c r="B459" s="94" t="s">
        <v>178</v>
      </c>
      <c r="C459" s="94" t="s">
        <v>46</v>
      </c>
      <c r="D459" s="94" t="s">
        <v>42</v>
      </c>
      <c r="E459" s="94" t="s">
        <v>278</v>
      </c>
      <c r="F459" s="93" t="s">
        <v>138</v>
      </c>
      <c r="G459" s="92">
        <v>240</v>
      </c>
    </row>
    <row r="460" spans="1:7" ht="15">
      <c r="A460" s="98" t="s">
        <v>280</v>
      </c>
      <c r="B460" s="94" t="s">
        <v>178</v>
      </c>
      <c r="C460" s="94" t="s">
        <v>46</v>
      </c>
      <c r="D460" s="94" t="s">
        <v>42</v>
      </c>
      <c r="E460" s="94" t="s">
        <v>278</v>
      </c>
      <c r="F460" s="93" t="s">
        <v>279</v>
      </c>
      <c r="G460" s="92">
        <f>G461+G462</f>
        <v>208341.8</v>
      </c>
    </row>
    <row r="461" spans="1:7" ht="60">
      <c r="A461" s="98" t="s">
        <v>161</v>
      </c>
      <c r="B461" s="94" t="s">
        <v>178</v>
      </c>
      <c r="C461" s="94" t="s">
        <v>46</v>
      </c>
      <c r="D461" s="94" t="s">
        <v>42</v>
      </c>
      <c r="E461" s="94" t="s">
        <v>278</v>
      </c>
      <c r="F461" s="93" t="s">
        <v>159</v>
      </c>
      <c r="G461" s="92">
        <f>195184.1-2510.2+12247.9</f>
        <v>204921.8</v>
      </c>
    </row>
    <row r="462" spans="1:7" ht="30">
      <c r="A462" s="98" t="s">
        <v>106</v>
      </c>
      <c r="B462" s="94" t="s">
        <v>178</v>
      </c>
      <c r="C462" s="94" t="s">
        <v>46</v>
      </c>
      <c r="D462" s="94" t="s">
        <v>42</v>
      </c>
      <c r="E462" s="94" t="s">
        <v>278</v>
      </c>
      <c r="F462" s="93" t="s">
        <v>103</v>
      </c>
      <c r="G462" s="92">
        <v>3420</v>
      </c>
    </row>
    <row r="463" spans="1:7" ht="90">
      <c r="A463" s="95" t="s">
        <v>147</v>
      </c>
      <c r="B463" s="94" t="s">
        <v>178</v>
      </c>
      <c r="C463" s="104" t="s">
        <v>46</v>
      </c>
      <c r="D463" s="104" t="s">
        <v>42</v>
      </c>
      <c r="E463" s="104" t="s">
        <v>143</v>
      </c>
      <c r="F463" s="104" t="s">
        <v>146</v>
      </c>
      <c r="G463" s="92">
        <f>G464</f>
        <v>3949</v>
      </c>
    </row>
    <row r="464" spans="1:7" ht="30">
      <c r="A464" s="95" t="s">
        <v>106</v>
      </c>
      <c r="B464" s="94" t="s">
        <v>178</v>
      </c>
      <c r="C464" s="104" t="s">
        <v>46</v>
      </c>
      <c r="D464" s="104" t="s">
        <v>42</v>
      </c>
      <c r="E464" s="104" t="s">
        <v>143</v>
      </c>
      <c r="F464" s="103" t="s">
        <v>103</v>
      </c>
      <c r="G464" s="92">
        <v>3949</v>
      </c>
    </row>
    <row r="465" spans="1:7" ht="15">
      <c r="A465" s="96" t="s">
        <v>277</v>
      </c>
      <c r="B465" s="94" t="s">
        <v>178</v>
      </c>
      <c r="C465" s="94" t="s">
        <v>46</v>
      </c>
      <c r="D465" s="94" t="s">
        <v>40</v>
      </c>
      <c r="E465" s="94"/>
      <c r="F465" s="93"/>
      <c r="G465" s="92">
        <f>G466+G468</f>
        <v>3126</v>
      </c>
    </row>
    <row r="466" spans="1:7" ht="15">
      <c r="A466" s="99" t="s">
        <v>276</v>
      </c>
      <c r="B466" s="94" t="s">
        <v>178</v>
      </c>
      <c r="C466" s="94" t="s">
        <v>46</v>
      </c>
      <c r="D466" s="94" t="s">
        <v>40</v>
      </c>
      <c r="E466" s="94" t="s">
        <v>275</v>
      </c>
      <c r="F466" s="93"/>
      <c r="G466" s="92">
        <f>G467</f>
        <v>1370.6</v>
      </c>
    </row>
    <row r="467" spans="1:7" ht="30">
      <c r="A467" s="99" t="s">
        <v>118</v>
      </c>
      <c r="B467" s="94" t="s">
        <v>178</v>
      </c>
      <c r="C467" s="94" t="s">
        <v>46</v>
      </c>
      <c r="D467" s="94" t="s">
        <v>40</v>
      </c>
      <c r="E467" s="94" t="s">
        <v>275</v>
      </c>
      <c r="F467" s="93" t="s">
        <v>117</v>
      </c>
      <c r="G467" s="92">
        <f>1350+20.6</f>
        <v>1370.6</v>
      </c>
    </row>
    <row r="468" spans="1:7" ht="30">
      <c r="A468" s="99" t="s">
        <v>274</v>
      </c>
      <c r="B468" s="94" t="s">
        <v>178</v>
      </c>
      <c r="C468" s="94" t="s">
        <v>46</v>
      </c>
      <c r="D468" s="94" t="s">
        <v>40</v>
      </c>
      <c r="E468" s="94" t="s">
        <v>273</v>
      </c>
      <c r="F468" s="93"/>
      <c r="G468" s="92">
        <f>G469+G471</f>
        <v>1755.4</v>
      </c>
    </row>
    <row r="469" spans="1:7" ht="30">
      <c r="A469" s="96" t="s">
        <v>125</v>
      </c>
      <c r="B469" s="94" t="s">
        <v>178</v>
      </c>
      <c r="C469" s="94" t="s">
        <v>46</v>
      </c>
      <c r="D469" s="94" t="s">
        <v>40</v>
      </c>
      <c r="E469" s="94" t="s">
        <v>272</v>
      </c>
      <c r="F469" s="121"/>
      <c r="G469" s="92">
        <f>G470</f>
        <v>1620</v>
      </c>
    </row>
    <row r="470" spans="1:7" ht="60">
      <c r="A470" s="98" t="s">
        <v>151</v>
      </c>
      <c r="B470" s="94" t="s">
        <v>178</v>
      </c>
      <c r="C470" s="94" t="s">
        <v>46</v>
      </c>
      <c r="D470" s="94" t="s">
        <v>40</v>
      </c>
      <c r="E470" s="94" t="s">
        <v>272</v>
      </c>
      <c r="F470" s="93" t="s">
        <v>144</v>
      </c>
      <c r="G470" s="92">
        <f>1603+17</f>
        <v>1620</v>
      </c>
    </row>
    <row r="471" spans="1:7" ht="30">
      <c r="A471" s="98" t="s">
        <v>149</v>
      </c>
      <c r="B471" s="94" t="s">
        <v>178</v>
      </c>
      <c r="C471" s="94" t="s">
        <v>46</v>
      </c>
      <c r="D471" s="94" t="s">
        <v>40</v>
      </c>
      <c r="E471" s="94" t="s">
        <v>271</v>
      </c>
      <c r="F471" s="93"/>
      <c r="G471" s="92">
        <f>G472</f>
        <v>135.4</v>
      </c>
    </row>
    <row r="472" spans="1:7" ht="30">
      <c r="A472" s="98" t="s">
        <v>139</v>
      </c>
      <c r="B472" s="94" t="s">
        <v>178</v>
      </c>
      <c r="C472" s="94" t="s">
        <v>46</v>
      </c>
      <c r="D472" s="94" t="s">
        <v>40</v>
      </c>
      <c r="E472" s="94" t="s">
        <v>271</v>
      </c>
      <c r="F472" s="93" t="s">
        <v>138</v>
      </c>
      <c r="G472" s="92">
        <v>135.4</v>
      </c>
    </row>
    <row r="473" spans="1:7" ht="15">
      <c r="A473" s="99" t="s">
        <v>37</v>
      </c>
      <c r="B473" s="94" t="s">
        <v>178</v>
      </c>
      <c r="C473" s="94" t="s">
        <v>46</v>
      </c>
      <c r="D473" s="94" t="s">
        <v>38</v>
      </c>
      <c r="E473" s="94"/>
      <c r="F473" s="93"/>
      <c r="G473" s="92">
        <f>G474+G481+G490+G496+G533</f>
        <v>59748.600000000006</v>
      </c>
    </row>
    <row r="474" spans="1:7" ht="60">
      <c r="A474" s="99" t="s">
        <v>270</v>
      </c>
      <c r="B474" s="94" t="s">
        <v>178</v>
      </c>
      <c r="C474" s="94" t="s">
        <v>46</v>
      </c>
      <c r="D474" s="94" t="s">
        <v>38</v>
      </c>
      <c r="E474" s="94" t="s">
        <v>133</v>
      </c>
      <c r="F474" s="93"/>
      <c r="G474" s="92">
        <f>G475</f>
        <v>7833.2</v>
      </c>
    </row>
    <row r="475" spans="1:7" ht="15">
      <c r="A475" s="99" t="s">
        <v>132</v>
      </c>
      <c r="B475" s="94" t="s">
        <v>178</v>
      </c>
      <c r="C475" s="94" t="s">
        <v>46</v>
      </c>
      <c r="D475" s="94" t="s">
        <v>38</v>
      </c>
      <c r="E475" s="94" t="s">
        <v>127</v>
      </c>
      <c r="F475" s="93"/>
      <c r="G475" s="92">
        <f>G476+G478+G479+G480+G477</f>
        <v>7833.2</v>
      </c>
    </row>
    <row r="476" spans="1:7" ht="15">
      <c r="A476" s="98" t="s">
        <v>124</v>
      </c>
      <c r="B476" s="94" t="s">
        <v>178</v>
      </c>
      <c r="C476" s="94" t="s">
        <v>46</v>
      </c>
      <c r="D476" s="94" t="s">
        <v>38</v>
      </c>
      <c r="E476" s="94" t="s">
        <v>127</v>
      </c>
      <c r="F476" s="97" t="s">
        <v>131</v>
      </c>
      <c r="G476" s="92">
        <f>7355+102</f>
        <v>7457</v>
      </c>
    </row>
    <row r="477" spans="1:7" ht="30">
      <c r="A477" s="98" t="s">
        <v>122</v>
      </c>
      <c r="B477" s="94" t="s">
        <v>178</v>
      </c>
      <c r="C477" s="94" t="s">
        <v>46</v>
      </c>
      <c r="D477" s="94" t="s">
        <v>38</v>
      </c>
      <c r="E477" s="94" t="s">
        <v>127</v>
      </c>
      <c r="F477" s="97" t="s">
        <v>130</v>
      </c>
      <c r="G477" s="92">
        <v>0.3</v>
      </c>
    </row>
    <row r="478" spans="1:7" ht="30">
      <c r="A478" s="98" t="s">
        <v>120</v>
      </c>
      <c r="B478" s="94" t="s">
        <v>178</v>
      </c>
      <c r="C478" s="94" t="s">
        <v>46</v>
      </c>
      <c r="D478" s="94" t="s">
        <v>38</v>
      </c>
      <c r="E478" s="94" t="s">
        <v>127</v>
      </c>
      <c r="F478" s="97" t="s">
        <v>119</v>
      </c>
      <c r="G478" s="92">
        <v>53</v>
      </c>
    </row>
    <row r="479" spans="1:7" ht="30">
      <c r="A479" s="96" t="s">
        <v>118</v>
      </c>
      <c r="B479" s="94" t="s">
        <v>178</v>
      </c>
      <c r="C479" s="94" t="s">
        <v>46</v>
      </c>
      <c r="D479" s="94" t="s">
        <v>38</v>
      </c>
      <c r="E479" s="94" t="s">
        <v>127</v>
      </c>
      <c r="F479" s="97" t="s">
        <v>117</v>
      </c>
      <c r="G479" s="92">
        <v>117</v>
      </c>
    </row>
    <row r="480" spans="1:7" ht="30">
      <c r="A480" s="98" t="s">
        <v>129</v>
      </c>
      <c r="B480" s="94" t="s">
        <v>178</v>
      </c>
      <c r="C480" s="94" t="s">
        <v>46</v>
      </c>
      <c r="D480" s="94" t="s">
        <v>38</v>
      </c>
      <c r="E480" s="94" t="s">
        <v>127</v>
      </c>
      <c r="F480" s="97" t="s">
        <v>128</v>
      </c>
      <c r="G480" s="92">
        <f>199+6.9</f>
        <v>205.9</v>
      </c>
    </row>
    <row r="481" spans="1:7" ht="90">
      <c r="A481" s="96" t="s">
        <v>126</v>
      </c>
      <c r="B481" s="94" t="s">
        <v>178</v>
      </c>
      <c r="C481" s="94" t="s">
        <v>46</v>
      </c>
      <c r="D481" s="94" t="s">
        <v>38</v>
      </c>
      <c r="E481" s="94" t="s">
        <v>269</v>
      </c>
      <c r="F481" s="97"/>
      <c r="G481" s="92">
        <f>G482+G488</f>
        <v>24190.2</v>
      </c>
    </row>
    <row r="482" spans="1:7" ht="30">
      <c r="A482" s="96" t="s">
        <v>125</v>
      </c>
      <c r="B482" s="94" t="s">
        <v>178</v>
      </c>
      <c r="C482" s="94" t="s">
        <v>46</v>
      </c>
      <c r="D482" s="94" t="s">
        <v>38</v>
      </c>
      <c r="E482" s="94" t="s">
        <v>268</v>
      </c>
      <c r="F482" s="97"/>
      <c r="G482" s="92">
        <f>G483+G484+G485+G486+G487</f>
        <v>24155.2</v>
      </c>
    </row>
    <row r="483" spans="1:7" ht="15">
      <c r="A483" s="98" t="s">
        <v>124</v>
      </c>
      <c r="B483" s="94" t="s">
        <v>178</v>
      </c>
      <c r="C483" s="94" t="s">
        <v>46</v>
      </c>
      <c r="D483" s="94" t="s">
        <v>38</v>
      </c>
      <c r="E483" s="94" t="s">
        <v>268</v>
      </c>
      <c r="F483" s="97" t="s">
        <v>123</v>
      </c>
      <c r="G483" s="92">
        <f>16370+245</f>
        <v>16615</v>
      </c>
    </row>
    <row r="484" spans="1:7" ht="30">
      <c r="A484" s="98" t="s">
        <v>122</v>
      </c>
      <c r="B484" s="94" t="s">
        <v>178</v>
      </c>
      <c r="C484" s="94" t="s">
        <v>46</v>
      </c>
      <c r="D484" s="94" t="s">
        <v>38</v>
      </c>
      <c r="E484" s="94" t="s">
        <v>268</v>
      </c>
      <c r="F484" s="97" t="s">
        <v>121</v>
      </c>
      <c r="G484" s="92">
        <v>13</v>
      </c>
    </row>
    <row r="485" spans="1:7" ht="30">
      <c r="A485" s="98" t="s">
        <v>120</v>
      </c>
      <c r="B485" s="94" t="s">
        <v>178</v>
      </c>
      <c r="C485" s="94" t="s">
        <v>46</v>
      </c>
      <c r="D485" s="94" t="s">
        <v>38</v>
      </c>
      <c r="E485" s="94" t="s">
        <v>268</v>
      </c>
      <c r="F485" s="97" t="s">
        <v>119</v>
      </c>
      <c r="G485" s="92">
        <f>475+10</f>
        <v>485</v>
      </c>
    </row>
    <row r="486" spans="1:7" ht="30">
      <c r="A486" s="96" t="s">
        <v>118</v>
      </c>
      <c r="B486" s="94" t="s">
        <v>178</v>
      </c>
      <c r="C486" s="94" t="s">
        <v>46</v>
      </c>
      <c r="D486" s="94" t="s">
        <v>38</v>
      </c>
      <c r="E486" s="94" t="s">
        <v>268</v>
      </c>
      <c r="F486" s="97" t="s">
        <v>117</v>
      </c>
      <c r="G486" s="92">
        <f>4197+378.2+500</f>
        <v>5075.2</v>
      </c>
    </row>
    <row r="487" spans="1:7" ht="60">
      <c r="A487" s="98" t="s">
        <v>151</v>
      </c>
      <c r="B487" s="94" t="s">
        <v>178</v>
      </c>
      <c r="C487" s="94" t="s">
        <v>46</v>
      </c>
      <c r="D487" s="94" t="s">
        <v>38</v>
      </c>
      <c r="E487" s="94" t="s">
        <v>268</v>
      </c>
      <c r="F487" s="97" t="s">
        <v>144</v>
      </c>
      <c r="G487" s="92">
        <v>1967</v>
      </c>
    </row>
    <row r="488" spans="1:7" ht="30">
      <c r="A488" s="98" t="s">
        <v>149</v>
      </c>
      <c r="B488" s="94" t="s">
        <v>178</v>
      </c>
      <c r="C488" s="94" t="s">
        <v>46</v>
      </c>
      <c r="D488" s="94" t="s">
        <v>38</v>
      </c>
      <c r="E488" s="94" t="s">
        <v>267</v>
      </c>
      <c r="F488" s="97"/>
      <c r="G488" s="92">
        <f>G489</f>
        <v>35</v>
      </c>
    </row>
    <row r="489" spans="1:7" ht="30">
      <c r="A489" s="98" t="s">
        <v>139</v>
      </c>
      <c r="B489" s="94" t="s">
        <v>178</v>
      </c>
      <c r="C489" s="94" t="s">
        <v>46</v>
      </c>
      <c r="D489" s="94" t="s">
        <v>38</v>
      </c>
      <c r="E489" s="94" t="s">
        <v>267</v>
      </c>
      <c r="F489" s="97" t="s">
        <v>138</v>
      </c>
      <c r="G489" s="92">
        <v>35</v>
      </c>
    </row>
    <row r="490" spans="1:7" ht="30">
      <c r="A490" s="99" t="s">
        <v>212</v>
      </c>
      <c r="B490" s="94" t="s">
        <v>178</v>
      </c>
      <c r="C490" s="94" t="s">
        <v>46</v>
      </c>
      <c r="D490" s="94" t="s">
        <v>38</v>
      </c>
      <c r="E490" s="94" t="s">
        <v>211</v>
      </c>
      <c r="F490" s="93"/>
      <c r="G490" s="92">
        <f>G491</f>
        <v>2013.3</v>
      </c>
    </row>
    <row r="491" spans="1:7" ht="45">
      <c r="A491" s="99" t="s">
        <v>266</v>
      </c>
      <c r="B491" s="94" t="s">
        <v>178</v>
      </c>
      <c r="C491" s="94" t="s">
        <v>46</v>
      </c>
      <c r="D491" s="94" t="s">
        <v>38</v>
      </c>
      <c r="E491" s="94" t="s">
        <v>265</v>
      </c>
      <c r="F491" s="93"/>
      <c r="G491" s="92">
        <f>G492+G494+G495+G493</f>
        <v>2013.3</v>
      </c>
    </row>
    <row r="492" spans="1:7" ht="15">
      <c r="A492" s="98" t="s">
        <v>124</v>
      </c>
      <c r="B492" s="94" t="s">
        <v>178</v>
      </c>
      <c r="C492" s="94" t="s">
        <v>46</v>
      </c>
      <c r="D492" s="94" t="s">
        <v>38</v>
      </c>
      <c r="E492" s="94" t="s">
        <v>265</v>
      </c>
      <c r="F492" s="93" t="s">
        <v>131</v>
      </c>
      <c r="G492" s="92">
        <v>1746</v>
      </c>
    </row>
    <row r="493" spans="1:7" ht="30">
      <c r="A493" s="98" t="s">
        <v>122</v>
      </c>
      <c r="B493" s="94" t="s">
        <v>178</v>
      </c>
      <c r="C493" s="94" t="s">
        <v>46</v>
      </c>
      <c r="D493" s="94" t="s">
        <v>38</v>
      </c>
      <c r="E493" s="94" t="s">
        <v>265</v>
      </c>
      <c r="F493" s="93" t="s">
        <v>130</v>
      </c>
      <c r="G493" s="92">
        <v>1</v>
      </c>
    </row>
    <row r="494" spans="1:7" ht="30">
      <c r="A494" s="98" t="s">
        <v>120</v>
      </c>
      <c r="B494" s="94" t="s">
        <v>178</v>
      </c>
      <c r="C494" s="94" t="s">
        <v>46</v>
      </c>
      <c r="D494" s="94" t="s">
        <v>38</v>
      </c>
      <c r="E494" s="94" t="s">
        <v>265</v>
      </c>
      <c r="F494" s="93" t="s">
        <v>119</v>
      </c>
      <c r="G494" s="92">
        <v>40</v>
      </c>
    </row>
    <row r="495" spans="1:7" ht="30">
      <c r="A495" s="96" t="s">
        <v>118</v>
      </c>
      <c r="B495" s="94" t="s">
        <v>178</v>
      </c>
      <c r="C495" s="94" t="s">
        <v>46</v>
      </c>
      <c r="D495" s="94" t="s">
        <v>38</v>
      </c>
      <c r="E495" s="94" t="s">
        <v>265</v>
      </c>
      <c r="F495" s="93" t="s">
        <v>117</v>
      </c>
      <c r="G495" s="92">
        <v>226.3</v>
      </c>
    </row>
    <row r="496" spans="1:7" ht="30">
      <c r="A496" s="96" t="s">
        <v>111</v>
      </c>
      <c r="B496" s="94" t="s">
        <v>178</v>
      </c>
      <c r="C496" s="94" t="s">
        <v>46</v>
      </c>
      <c r="D496" s="94" t="s">
        <v>38</v>
      </c>
      <c r="E496" s="94" t="s">
        <v>110</v>
      </c>
      <c r="F496" s="93"/>
      <c r="G496" s="92">
        <f>G497+G528+G531</f>
        <v>17548.9</v>
      </c>
    </row>
    <row r="497" spans="1:7" ht="30">
      <c r="A497" s="96" t="s">
        <v>264</v>
      </c>
      <c r="B497" s="94" t="s">
        <v>178</v>
      </c>
      <c r="C497" s="94" t="s">
        <v>46</v>
      </c>
      <c r="D497" s="94" t="s">
        <v>38</v>
      </c>
      <c r="E497" s="94" t="s">
        <v>263</v>
      </c>
      <c r="F497" s="93"/>
      <c r="G497" s="92">
        <f>G499+G501+G503+G506+G509+G512+G516+G518+G520+G523+G525</f>
        <v>17368.9</v>
      </c>
    </row>
    <row r="498" spans="1:7" ht="15">
      <c r="A498" s="120" t="s">
        <v>262</v>
      </c>
      <c r="B498" s="94"/>
      <c r="C498" s="94"/>
      <c r="D498" s="94"/>
      <c r="E498" s="94"/>
      <c r="F498" s="93"/>
      <c r="G498" s="92"/>
    </row>
    <row r="499" spans="1:7" ht="30">
      <c r="A499" s="96" t="s">
        <v>261</v>
      </c>
      <c r="B499" s="94" t="s">
        <v>178</v>
      </c>
      <c r="C499" s="94" t="s">
        <v>46</v>
      </c>
      <c r="D499" s="94" t="s">
        <v>38</v>
      </c>
      <c r="E499" s="94" t="s">
        <v>260</v>
      </c>
      <c r="F499" s="93"/>
      <c r="G499" s="92">
        <f>G500</f>
        <v>100</v>
      </c>
    </row>
    <row r="500" spans="1:7" ht="30">
      <c r="A500" s="99" t="s">
        <v>106</v>
      </c>
      <c r="B500" s="94" t="s">
        <v>178</v>
      </c>
      <c r="C500" s="94" t="s">
        <v>46</v>
      </c>
      <c r="D500" s="94" t="s">
        <v>38</v>
      </c>
      <c r="E500" s="94" t="s">
        <v>260</v>
      </c>
      <c r="F500" s="93" t="s">
        <v>103</v>
      </c>
      <c r="G500" s="92">
        <v>100</v>
      </c>
    </row>
    <row r="501" spans="1:7" ht="30">
      <c r="A501" s="116" t="s">
        <v>259</v>
      </c>
      <c r="B501" s="94" t="s">
        <v>178</v>
      </c>
      <c r="C501" s="94" t="s">
        <v>46</v>
      </c>
      <c r="D501" s="94" t="s">
        <v>38</v>
      </c>
      <c r="E501" s="94" t="s">
        <v>258</v>
      </c>
      <c r="F501" s="93"/>
      <c r="G501" s="92">
        <f>G502</f>
        <v>4565.5</v>
      </c>
    </row>
    <row r="502" spans="1:7" ht="30">
      <c r="A502" s="99" t="s">
        <v>106</v>
      </c>
      <c r="B502" s="94" t="s">
        <v>178</v>
      </c>
      <c r="C502" s="94" t="s">
        <v>46</v>
      </c>
      <c r="D502" s="94" t="s">
        <v>38</v>
      </c>
      <c r="E502" s="94" t="s">
        <v>258</v>
      </c>
      <c r="F502" s="93" t="s">
        <v>103</v>
      </c>
      <c r="G502" s="92">
        <f>3865.5+700</f>
        <v>4565.5</v>
      </c>
    </row>
    <row r="503" spans="1:7" ht="45">
      <c r="A503" s="116" t="s">
        <v>257</v>
      </c>
      <c r="B503" s="94" t="s">
        <v>178</v>
      </c>
      <c r="C503" s="94" t="s">
        <v>46</v>
      </c>
      <c r="D503" s="94" t="s">
        <v>38</v>
      </c>
      <c r="E503" s="94" t="s">
        <v>256</v>
      </c>
      <c r="F503" s="93"/>
      <c r="G503" s="92">
        <f>G504+G505</f>
        <v>225</v>
      </c>
    </row>
    <row r="504" spans="1:7" ht="30">
      <c r="A504" s="98" t="s">
        <v>139</v>
      </c>
      <c r="B504" s="94" t="s">
        <v>178</v>
      </c>
      <c r="C504" s="94" t="s">
        <v>46</v>
      </c>
      <c r="D504" s="94" t="s">
        <v>38</v>
      </c>
      <c r="E504" s="94" t="s">
        <v>256</v>
      </c>
      <c r="F504" s="93" t="s">
        <v>138</v>
      </c>
      <c r="G504" s="92">
        <v>20</v>
      </c>
    </row>
    <row r="505" spans="1:7" ht="30">
      <c r="A505" s="99" t="s">
        <v>106</v>
      </c>
      <c r="B505" s="94" t="s">
        <v>178</v>
      </c>
      <c r="C505" s="94" t="s">
        <v>46</v>
      </c>
      <c r="D505" s="94" t="s">
        <v>38</v>
      </c>
      <c r="E505" s="94" t="s">
        <v>256</v>
      </c>
      <c r="F505" s="93" t="s">
        <v>103</v>
      </c>
      <c r="G505" s="92">
        <v>205</v>
      </c>
    </row>
    <row r="506" spans="1:7" ht="15">
      <c r="A506" s="116" t="s">
        <v>255</v>
      </c>
      <c r="B506" s="94" t="s">
        <v>178</v>
      </c>
      <c r="C506" s="94" t="s">
        <v>46</v>
      </c>
      <c r="D506" s="94" t="s">
        <v>38</v>
      </c>
      <c r="E506" s="94" t="s">
        <v>254</v>
      </c>
      <c r="F506" s="93"/>
      <c r="G506" s="92">
        <f>G507+G508</f>
        <v>450</v>
      </c>
    </row>
    <row r="507" spans="1:7" ht="30">
      <c r="A507" s="96" t="s">
        <v>118</v>
      </c>
      <c r="B507" s="94" t="s">
        <v>178</v>
      </c>
      <c r="C507" s="94" t="s">
        <v>46</v>
      </c>
      <c r="D507" s="94" t="s">
        <v>38</v>
      </c>
      <c r="E507" s="94" t="s">
        <v>254</v>
      </c>
      <c r="F507" s="93" t="s">
        <v>117</v>
      </c>
      <c r="G507" s="92">
        <v>415</v>
      </c>
    </row>
    <row r="508" spans="1:7" ht="30">
      <c r="A508" s="99" t="s">
        <v>106</v>
      </c>
      <c r="B508" s="94" t="s">
        <v>178</v>
      </c>
      <c r="C508" s="94" t="s">
        <v>46</v>
      </c>
      <c r="D508" s="94" t="s">
        <v>38</v>
      </c>
      <c r="E508" s="94" t="s">
        <v>254</v>
      </c>
      <c r="F508" s="93" t="s">
        <v>103</v>
      </c>
      <c r="G508" s="92">
        <v>35</v>
      </c>
    </row>
    <row r="509" spans="1:7" ht="30">
      <c r="A509" s="116" t="s">
        <v>253</v>
      </c>
      <c r="B509" s="94" t="s">
        <v>178</v>
      </c>
      <c r="C509" s="94" t="s">
        <v>46</v>
      </c>
      <c r="D509" s="94" t="s">
        <v>38</v>
      </c>
      <c r="E509" s="94" t="s">
        <v>252</v>
      </c>
      <c r="F509" s="93"/>
      <c r="G509" s="92">
        <f>G510+G511</f>
        <v>200</v>
      </c>
    </row>
    <row r="510" spans="1:7" ht="30">
      <c r="A510" s="96" t="s">
        <v>118</v>
      </c>
      <c r="B510" s="94" t="s">
        <v>178</v>
      </c>
      <c r="C510" s="94" t="s">
        <v>46</v>
      </c>
      <c r="D510" s="94" t="s">
        <v>38</v>
      </c>
      <c r="E510" s="94" t="s">
        <v>252</v>
      </c>
      <c r="F510" s="93" t="s">
        <v>117</v>
      </c>
      <c r="G510" s="92">
        <v>100</v>
      </c>
    </row>
    <row r="511" spans="1:7" ht="30">
      <c r="A511" s="99" t="s">
        <v>106</v>
      </c>
      <c r="B511" s="94" t="s">
        <v>178</v>
      </c>
      <c r="C511" s="94" t="s">
        <v>46</v>
      </c>
      <c r="D511" s="94" t="s">
        <v>38</v>
      </c>
      <c r="E511" s="94" t="s">
        <v>252</v>
      </c>
      <c r="F511" s="93" t="s">
        <v>103</v>
      </c>
      <c r="G511" s="92">
        <v>100</v>
      </c>
    </row>
    <row r="512" spans="1:7" ht="30">
      <c r="A512" s="116" t="s">
        <v>251</v>
      </c>
      <c r="B512" s="94" t="s">
        <v>178</v>
      </c>
      <c r="C512" s="94" t="s">
        <v>46</v>
      </c>
      <c r="D512" s="94" t="s">
        <v>38</v>
      </c>
      <c r="E512" s="94" t="s">
        <v>248</v>
      </c>
      <c r="F512" s="93"/>
      <c r="G512" s="92">
        <f>G513+G514+G515</f>
        <v>1370</v>
      </c>
    </row>
    <row r="513" spans="1:7" ht="30">
      <c r="A513" s="119" t="s">
        <v>250</v>
      </c>
      <c r="B513" s="94" t="s">
        <v>178</v>
      </c>
      <c r="C513" s="94" t="s">
        <v>46</v>
      </c>
      <c r="D513" s="94" t="s">
        <v>38</v>
      </c>
      <c r="E513" s="94" t="s">
        <v>248</v>
      </c>
      <c r="F513" s="93" t="s">
        <v>249</v>
      </c>
      <c r="G513" s="92">
        <v>970</v>
      </c>
    </row>
    <row r="514" spans="1:7" ht="30">
      <c r="A514" s="98" t="s">
        <v>139</v>
      </c>
      <c r="B514" s="94" t="s">
        <v>178</v>
      </c>
      <c r="C514" s="94" t="s">
        <v>46</v>
      </c>
      <c r="D514" s="94" t="s">
        <v>38</v>
      </c>
      <c r="E514" s="94" t="s">
        <v>248</v>
      </c>
      <c r="F514" s="93" t="s">
        <v>138</v>
      </c>
      <c r="G514" s="92">
        <v>15</v>
      </c>
    </row>
    <row r="515" spans="1:7" ht="30">
      <c r="A515" s="99" t="s">
        <v>106</v>
      </c>
      <c r="B515" s="94" t="s">
        <v>178</v>
      </c>
      <c r="C515" s="94" t="s">
        <v>46</v>
      </c>
      <c r="D515" s="94" t="s">
        <v>38</v>
      </c>
      <c r="E515" s="94" t="s">
        <v>248</v>
      </c>
      <c r="F515" s="93" t="s">
        <v>103</v>
      </c>
      <c r="G515" s="92">
        <v>385</v>
      </c>
    </row>
    <row r="516" spans="1:7" ht="30">
      <c r="A516" s="116" t="s">
        <v>247</v>
      </c>
      <c r="B516" s="94" t="s">
        <v>178</v>
      </c>
      <c r="C516" s="94" t="s">
        <v>46</v>
      </c>
      <c r="D516" s="94" t="s">
        <v>38</v>
      </c>
      <c r="E516" s="94" t="s">
        <v>246</v>
      </c>
      <c r="F516" s="93"/>
      <c r="G516" s="92">
        <f>G517</f>
        <v>30</v>
      </c>
    </row>
    <row r="517" spans="1:7" ht="30">
      <c r="A517" s="99" t="s">
        <v>106</v>
      </c>
      <c r="B517" s="94" t="s">
        <v>178</v>
      </c>
      <c r="C517" s="94" t="s">
        <v>46</v>
      </c>
      <c r="D517" s="94" t="s">
        <v>38</v>
      </c>
      <c r="E517" s="94" t="s">
        <v>246</v>
      </c>
      <c r="F517" s="93" t="s">
        <v>103</v>
      </c>
      <c r="G517" s="92">
        <v>30</v>
      </c>
    </row>
    <row r="518" spans="1:7" ht="30">
      <c r="A518" s="116" t="s">
        <v>245</v>
      </c>
      <c r="B518" s="94" t="s">
        <v>178</v>
      </c>
      <c r="C518" s="94" t="s">
        <v>46</v>
      </c>
      <c r="D518" s="94" t="s">
        <v>38</v>
      </c>
      <c r="E518" s="94" t="s">
        <v>244</v>
      </c>
      <c r="F518" s="93"/>
      <c r="G518" s="92">
        <f>G519</f>
        <v>1860</v>
      </c>
    </row>
    <row r="519" spans="1:7" ht="30">
      <c r="A519" s="99" t="s">
        <v>106</v>
      </c>
      <c r="B519" s="94" t="s">
        <v>178</v>
      </c>
      <c r="C519" s="94" t="s">
        <v>46</v>
      </c>
      <c r="D519" s="94" t="s">
        <v>38</v>
      </c>
      <c r="E519" s="94" t="s">
        <v>244</v>
      </c>
      <c r="F519" s="93" t="s">
        <v>103</v>
      </c>
      <c r="G519" s="92">
        <f>400+1460</f>
        <v>1860</v>
      </c>
    </row>
    <row r="520" spans="1:7" ht="30">
      <c r="A520" s="116" t="s">
        <v>243</v>
      </c>
      <c r="B520" s="94" t="s">
        <v>178</v>
      </c>
      <c r="C520" s="94" t="s">
        <v>46</v>
      </c>
      <c r="D520" s="94" t="s">
        <v>38</v>
      </c>
      <c r="E520" s="94" t="s">
        <v>242</v>
      </c>
      <c r="F520" s="93"/>
      <c r="G520" s="92">
        <f>G521+G522</f>
        <v>2790</v>
      </c>
    </row>
    <row r="521" spans="1:7" ht="30">
      <c r="A521" s="98" t="s">
        <v>139</v>
      </c>
      <c r="B521" s="94" t="s">
        <v>178</v>
      </c>
      <c r="C521" s="94" t="s">
        <v>46</v>
      </c>
      <c r="D521" s="94" t="s">
        <v>38</v>
      </c>
      <c r="E521" s="94" t="s">
        <v>242</v>
      </c>
      <c r="F521" s="93" t="s">
        <v>138</v>
      </c>
      <c r="G521" s="92">
        <v>160</v>
      </c>
    </row>
    <row r="522" spans="1:7" ht="30">
      <c r="A522" s="99" t="s">
        <v>106</v>
      </c>
      <c r="B522" s="94" t="s">
        <v>178</v>
      </c>
      <c r="C522" s="94" t="s">
        <v>46</v>
      </c>
      <c r="D522" s="94" t="s">
        <v>38</v>
      </c>
      <c r="E522" s="94" t="s">
        <v>242</v>
      </c>
      <c r="F522" s="93" t="s">
        <v>103</v>
      </c>
      <c r="G522" s="92">
        <f>1640+990</f>
        <v>2630</v>
      </c>
    </row>
    <row r="523" spans="1:7" ht="30">
      <c r="A523" s="118" t="s">
        <v>241</v>
      </c>
      <c r="B523" s="94" t="s">
        <v>178</v>
      </c>
      <c r="C523" s="94" t="s">
        <v>46</v>
      </c>
      <c r="D523" s="94" t="s">
        <v>38</v>
      </c>
      <c r="E523" s="94" t="s">
        <v>240</v>
      </c>
      <c r="F523" s="93"/>
      <c r="G523" s="92">
        <f>G524</f>
        <v>2378.4</v>
      </c>
    </row>
    <row r="524" spans="1:7" ht="30">
      <c r="A524" s="96" t="s">
        <v>118</v>
      </c>
      <c r="B524" s="94" t="s">
        <v>178</v>
      </c>
      <c r="C524" s="94" t="s">
        <v>46</v>
      </c>
      <c r="D524" s="94" t="s">
        <v>38</v>
      </c>
      <c r="E524" s="94" t="s">
        <v>240</v>
      </c>
      <c r="F524" s="93" t="s">
        <v>117</v>
      </c>
      <c r="G524" s="92">
        <v>2378.4</v>
      </c>
    </row>
    <row r="525" spans="1:7" ht="45">
      <c r="A525" s="116" t="s">
        <v>239</v>
      </c>
      <c r="B525" s="94" t="s">
        <v>178</v>
      </c>
      <c r="C525" s="94" t="s">
        <v>46</v>
      </c>
      <c r="D525" s="94" t="s">
        <v>38</v>
      </c>
      <c r="E525" s="94" t="s">
        <v>238</v>
      </c>
      <c r="F525" s="93"/>
      <c r="G525" s="92">
        <f>G526+G527</f>
        <v>3400</v>
      </c>
    </row>
    <row r="526" spans="1:7" ht="30">
      <c r="A526" s="98" t="s">
        <v>139</v>
      </c>
      <c r="B526" s="94" t="s">
        <v>178</v>
      </c>
      <c r="C526" s="94" t="s">
        <v>46</v>
      </c>
      <c r="D526" s="94" t="s">
        <v>38</v>
      </c>
      <c r="E526" s="94" t="s">
        <v>238</v>
      </c>
      <c r="F526" s="93" t="s">
        <v>138</v>
      </c>
      <c r="G526" s="92">
        <v>91.3</v>
      </c>
    </row>
    <row r="527" spans="1:7" ht="30">
      <c r="A527" s="99" t="s">
        <v>106</v>
      </c>
      <c r="B527" s="94" t="s">
        <v>178</v>
      </c>
      <c r="C527" s="94" t="s">
        <v>46</v>
      </c>
      <c r="D527" s="94" t="s">
        <v>38</v>
      </c>
      <c r="E527" s="94" t="s">
        <v>238</v>
      </c>
      <c r="F527" s="93" t="s">
        <v>103</v>
      </c>
      <c r="G527" s="92">
        <v>3308.7</v>
      </c>
    </row>
    <row r="528" spans="1:7" ht="45">
      <c r="A528" s="96" t="s">
        <v>237</v>
      </c>
      <c r="B528" s="94" t="s">
        <v>178</v>
      </c>
      <c r="C528" s="94" t="s">
        <v>46</v>
      </c>
      <c r="D528" s="94" t="s">
        <v>38</v>
      </c>
      <c r="E528" s="100" t="s">
        <v>236</v>
      </c>
      <c r="F528" s="93"/>
      <c r="G528" s="92">
        <f>G529+G530</f>
        <v>80</v>
      </c>
    </row>
    <row r="529" spans="1:7" ht="30">
      <c r="A529" s="96" t="s">
        <v>118</v>
      </c>
      <c r="B529" s="94" t="s">
        <v>178</v>
      </c>
      <c r="C529" s="94" t="s">
        <v>46</v>
      </c>
      <c r="D529" s="94" t="s">
        <v>38</v>
      </c>
      <c r="E529" s="100" t="s">
        <v>236</v>
      </c>
      <c r="F529" s="93" t="s">
        <v>117</v>
      </c>
      <c r="G529" s="92">
        <f>80-50</f>
        <v>30</v>
      </c>
    </row>
    <row r="530" spans="1:7" ht="30">
      <c r="A530" s="99" t="s">
        <v>106</v>
      </c>
      <c r="B530" s="94" t="s">
        <v>178</v>
      </c>
      <c r="C530" s="94" t="s">
        <v>46</v>
      </c>
      <c r="D530" s="94" t="s">
        <v>38</v>
      </c>
      <c r="E530" s="100" t="s">
        <v>236</v>
      </c>
      <c r="F530" s="93" t="s">
        <v>103</v>
      </c>
      <c r="G530" s="92">
        <v>50</v>
      </c>
    </row>
    <row r="531" spans="1:7" ht="60">
      <c r="A531" s="96" t="s">
        <v>235</v>
      </c>
      <c r="B531" s="94" t="s">
        <v>178</v>
      </c>
      <c r="C531" s="94" t="s">
        <v>46</v>
      </c>
      <c r="D531" s="94" t="s">
        <v>38</v>
      </c>
      <c r="E531" s="117" t="s">
        <v>135</v>
      </c>
      <c r="F531" s="93"/>
      <c r="G531" s="92">
        <f>G532</f>
        <v>100</v>
      </c>
    </row>
    <row r="532" spans="1:7" ht="30">
      <c r="A532" s="96" t="s">
        <v>106</v>
      </c>
      <c r="B532" s="94" t="s">
        <v>178</v>
      </c>
      <c r="C532" s="94" t="s">
        <v>46</v>
      </c>
      <c r="D532" s="94" t="s">
        <v>38</v>
      </c>
      <c r="E532" s="117" t="s">
        <v>135</v>
      </c>
      <c r="F532" s="93" t="s">
        <v>103</v>
      </c>
      <c r="G532" s="92">
        <v>100</v>
      </c>
    </row>
    <row r="533" spans="1:7" ht="45">
      <c r="A533" s="96" t="s">
        <v>185</v>
      </c>
      <c r="B533" s="94" t="s">
        <v>178</v>
      </c>
      <c r="C533" s="94" t="s">
        <v>46</v>
      </c>
      <c r="D533" s="94" t="s">
        <v>38</v>
      </c>
      <c r="E533" s="117" t="s">
        <v>184</v>
      </c>
      <c r="F533" s="93"/>
      <c r="G533" s="92">
        <f>G534+G537</f>
        <v>8163</v>
      </c>
    </row>
    <row r="534" spans="1:7" ht="60">
      <c r="A534" s="96" t="s">
        <v>234</v>
      </c>
      <c r="B534" s="94" t="s">
        <v>178</v>
      </c>
      <c r="C534" s="94" t="s">
        <v>46</v>
      </c>
      <c r="D534" s="94" t="s">
        <v>38</v>
      </c>
      <c r="E534" s="117" t="s">
        <v>233</v>
      </c>
      <c r="F534" s="93"/>
      <c r="G534" s="92">
        <f>G535+G536</f>
        <v>58</v>
      </c>
    </row>
    <row r="535" spans="1:7" ht="30">
      <c r="A535" s="96" t="s">
        <v>118</v>
      </c>
      <c r="B535" s="94" t="s">
        <v>178</v>
      </c>
      <c r="C535" s="94" t="s">
        <v>46</v>
      </c>
      <c r="D535" s="94" t="s">
        <v>38</v>
      </c>
      <c r="E535" s="117" t="s">
        <v>233</v>
      </c>
      <c r="F535" s="93" t="s">
        <v>117</v>
      </c>
      <c r="G535" s="92">
        <v>10</v>
      </c>
    </row>
    <row r="536" spans="1:7" ht="30">
      <c r="A536" s="96" t="s">
        <v>106</v>
      </c>
      <c r="B536" s="94" t="s">
        <v>178</v>
      </c>
      <c r="C536" s="94" t="s">
        <v>46</v>
      </c>
      <c r="D536" s="94" t="s">
        <v>38</v>
      </c>
      <c r="E536" s="117" t="s">
        <v>233</v>
      </c>
      <c r="F536" s="93" t="s">
        <v>103</v>
      </c>
      <c r="G536" s="92">
        <v>48</v>
      </c>
    </row>
    <row r="537" spans="1:7" ht="45">
      <c r="A537" s="116" t="s">
        <v>232</v>
      </c>
      <c r="B537" s="94" t="s">
        <v>178</v>
      </c>
      <c r="C537" s="94" t="s">
        <v>46</v>
      </c>
      <c r="D537" s="94" t="s">
        <v>38</v>
      </c>
      <c r="E537" s="117" t="s">
        <v>231</v>
      </c>
      <c r="F537" s="93"/>
      <c r="G537" s="92">
        <f>G538+G540+G542+G545+G548+G552+G555+G557</f>
        <v>8105</v>
      </c>
    </row>
    <row r="538" spans="1:7" ht="45">
      <c r="A538" s="116" t="s">
        <v>230</v>
      </c>
      <c r="B538" s="94" t="s">
        <v>178</v>
      </c>
      <c r="C538" s="94" t="s">
        <v>46</v>
      </c>
      <c r="D538" s="94" t="s">
        <v>38</v>
      </c>
      <c r="E538" s="117" t="s">
        <v>229</v>
      </c>
      <c r="F538" s="93"/>
      <c r="G538" s="92">
        <f>G539</f>
        <v>1099.2</v>
      </c>
    </row>
    <row r="539" spans="1:7" ht="30">
      <c r="A539" s="99" t="s">
        <v>106</v>
      </c>
      <c r="B539" s="94" t="s">
        <v>178</v>
      </c>
      <c r="C539" s="94" t="s">
        <v>46</v>
      </c>
      <c r="D539" s="94" t="s">
        <v>38</v>
      </c>
      <c r="E539" s="117" t="s">
        <v>229</v>
      </c>
      <c r="F539" s="93" t="s">
        <v>103</v>
      </c>
      <c r="G539" s="92">
        <v>1099.2</v>
      </c>
    </row>
    <row r="540" spans="1:7" ht="45">
      <c r="A540" s="116" t="s">
        <v>228</v>
      </c>
      <c r="B540" s="94" t="s">
        <v>178</v>
      </c>
      <c r="C540" s="94" t="s">
        <v>46</v>
      </c>
      <c r="D540" s="94" t="s">
        <v>38</v>
      </c>
      <c r="E540" s="117" t="s">
        <v>227</v>
      </c>
      <c r="F540" s="93"/>
      <c r="G540" s="92">
        <f>G541</f>
        <v>526.9</v>
      </c>
    </row>
    <row r="541" spans="1:7" ht="30">
      <c r="A541" s="99" t="s">
        <v>106</v>
      </c>
      <c r="B541" s="94" t="s">
        <v>178</v>
      </c>
      <c r="C541" s="94" t="s">
        <v>46</v>
      </c>
      <c r="D541" s="94" t="s">
        <v>38</v>
      </c>
      <c r="E541" s="117" t="s">
        <v>227</v>
      </c>
      <c r="F541" s="93" t="s">
        <v>103</v>
      </c>
      <c r="G541" s="92">
        <v>526.9</v>
      </c>
    </row>
    <row r="542" spans="1:7" ht="60">
      <c r="A542" s="99" t="s">
        <v>226</v>
      </c>
      <c r="B542" s="94" t="s">
        <v>178</v>
      </c>
      <c r="C542" s="94" t="s">
        <v>46</v>
      </c>
      <c r="D542" s="94" t="s">
        <v>38</v>
      </c>
      <c r="E542" s="117" t="s">
        <v>225</v>
      </c>
      <c r="F542" s="93"/>
      <c r="G542" s="92">
        <f>G543+G544</f>
        <v>583.1</v>
      </c>
    </row>
    <row r="543" spans="1:7" ht="30">
      <c r="A543" s="98" t="s">
        <v>139</v>
      </c>
      <c r="B543" s="94" t="s">
        <v>178</v>
      </c>
      <c r="C543" s="94" t="s">
        <v>46</v>
      </c>
      <c r="D543" s="94" t="s">
        <v>38</v>
      </c>
      <c r="E543" s="117" t="s">
        <v>225</v>
      </c>
      <c r="F543" s="93" t="s">
        <v>138</v>
      </c>
      <c r="G543" s="92">
        <v>74.3</v>
      </c>
    </row>
    <row r="544" spans="1:7" ht="30">
      <c r="A544" s="99" t="s">
        <v>106</v>
      </c>
      <c r="B544" s="94" t="s">
        <v>178</v>
      </c>
      <c r="C544" s="94" t="s">
        <v>46</v>
      </c>
      <c r="D544" s="94" t="s">
        <v>38</v>
      </c>
      <c r="E544" s="117" t="s">
        <v>225</v>
      </c>
      <c r="F544" s="93" t="s">
        <v>103</v>
      </c>
      <c r="G544" s="92">
        <v>508.8</v>
      </c>
    </row>
    <row r="545" spans="1:7" ht="30">
      <c r="A545" s="116" t="s">
        <v>224</v>
      </c>
      <c r="B545" s="94" t="s">
        <v>178</v>
      </c>
      <c r="C545" s="94" t="s">
        <v>46</v>
      </c>
      <c r="D545" s="94" t="s">
        <v>38</v>
      </c>
      <c r="E545" s="117" t="s">
        <v>223</v>
      </c>
      <c r="F545" s="93"/>
      <c r="G545" s="92">
        <f>G546+G547</f>
        <v>78.5</v>
      </c>
    </row>
    <row r="546" spans="1:7" ht="30">
      <c r="A546" s="96" t="s">
        <v>118</v>
      </c>
      <c r="B546" s="94" t="s">
        <v>178</v>
      </c>
      <c r="C546" s="94" t="s">
        <v>46</v>
      </c>
      <c r="D546" s="94" t="s">
        <v>38</v>
      </c>
      <c r="E546" s="117" t="s">
        <v>223</v>
      </c>
      <c r="F546" s="93" t="s">
        <v>117</v>
      </c>
      <c r="G546" s="92">
        <v>62.5</v>
      </c>
    </row>
    <row r="547" spans="1:7" ht="30">
      <c r="A547" s="99" t="s">
        <v>106</v>
      </c>
      <c r="B547" s="94" t="s">
        <v>178</v>
      </c>
      <c r="C547" s="94" t="s">
        <v>46</v>
      </c>
      <c r="D547" s="94" t="s">
        <v>38</v>
      </c>
      <c r="E547" s="117" t="s">
        <v>223</v>
      </c>
      <c r="F547" s="93" t="s">
        <v>103</v>
      </c>
      <c r="G547" s="92">
        <v>16</v>
      </c>
    </row>
    <row r="548" spans="1:7" ht="45">
      <c r="A548" s="116" t="s">
        <v>222</v>
      </c>
      <c r="B548" s="94" t="s">
        <v>178</v>
      </c>
      <c r="C548" s="94" t="s">
        <v>46</v>
      </c>
      <c r="D548" s="94" t="s">
        <v>38</v>
      </c>
      <c r="E548" s="117" t="s">
        <v>221</v>
      </c>
      <c r="F548" s="93"/>
      <c r="G548" s="92">
        <f>G549+G550+G551</f>
        <v>217.2</v>
      </c>
    </row>
    <row r="549" spans="1:7" ht="30">
      <c r="A549" s="96" t="s">
        <v>118</v>
      </c>
      <c r="B549" s="94" t="s">
        <v>178</v>
      </c>
      <c r="C549" s="94" t="s">
        <v>46</v>
      </c>
      <c r="D549" s="94" t="s">
        <v>38</v>
      </c>
      <c r="E549" s="117" t="s">
        <v>221</v>
      </c>
      <c r="F549" s="93" t="s">
        <v>117</v>
      </c>
      <c r="G549" s="92">
        <v>22.2</v>
      </c>
    </row>
    <row r="550" spans="1:7" ht="30">
      <c r="A550" s="98" t="s">
        <v>139</v>
      </c>
      <c r="B550" s="94" t="s">
        <v>178</v>
      </c>
      <c r="C550" s="94" t="s">
        <v>46</v>
      </c>
      <c r="D550" s="94" t="s">
        <v>38</v>
      </c>
      <c r="E550" s="117" t="s">
        <v>221</v>
      </c>
      <c r="F550" s="93" t="s">
        <v>138</v>
      </c>
      <c r="G550" s="92">
        <v>26.8</v>
      </c>
    </row>
    <row r="551" spans="1:7" ht="30">
      <c r="A551" s="99" t="s">
        <v>106</v>
      </c>
      <c r="B551" s="94" t="s">
        <v>178</v>
      </c>
      <c r="C551" s="94" t="s">
        <v>46</v>
      </c>
      <c r="D551" s="94" t="s">
        <v>38</v>
      </c>
      <c r="E551" s="117" t="s">
        <v>221</v>
      </c>
      <c r="F551" s="93" t="s">
        <v>103</v>
      </c>
      <c r="G551" s="92">
        <v>168.2</v>
      </c>
    </row>
    <row r="552" spans="1:7" ht="45">
      <c r="A552" s="99" t="s">
        <v>220</v>
      </c>
      <c r="B552" s="94" t="s">
        <v>178</v>
      </c>
      <c r="C552" s="94" t="s">
        <v>46</v>
      </c>
      <c r="D552" s="94" t="s">
        <v>38</v>
      </c>
      <c r="E552" s="117" t="s">
        <v>219</v>
      </c>
      <c r="F552" s="93"/>
      <c r="G552" s="92">
        <f>G553+G554</f>
        <v>1441.6000000000001</v>
      </c>
    </row>
    <row r="553" spans="1:7" ht="30">
      <c r="A553" s="98" t="s">
        <v>139</v>
      </c>
      <c r="B553" s="94" t="s">
        <v>178</v>
      </c>
      <c r="C553" s="94" t="s">
        <v>46</v>
      </c>
      <c r="D553" s="94" t="s">
        <v>38</v>
      </c>
      <c r="E553" s="117" t="s">
        <v>219</v>
      </c>
      <c r="F553" s="93" t="s">
        <v>138</v>
      </c>
      <c r="G553" s="92">
        <v>329.2</v>
      </c>
    </row>
    <row r="554" spans="1:7" ht="30">
      <c r="A554" s="99" t="s">
        <v>106</v>
      </c>
      <c r="B554" s="94" t="s">
        <v>178</v>
      </c>
      <c r="C554" s="94" t="s">
        <v>46</v>
      </c>
      <c r="D554" s="94" t="s">
        <v>38</v>
      </c>
      <c r="E554" s="117" t="s">
        <v>219</v>
      </c>
      <c r="F554" s="93" t="s">
        <v>103</v>
      </c>
      <c r="G554" s="92">
        <v>1112.4</v>
      </c>
    </row>
    <row r="555" spans="1:7" ht="45">
      <c r="A555" s="99" t="s">
        <v>218</v>
      </c>
      <c r="B555" s="94" t="s">
        <v>178</v>
      </c>
      <c r="C555" s="94" t="s">
        <v>46</v>
      </c>
      <c r="D555" s="94" t="s">
        <v>38</v>
      </c>
      <c r="E555" s="117" t="s">
        <v>217</v>
      </c>
      <c r="F555" s="93"/>
      <c r="G555" s="92">
        <f>G556</f>
        <v>3079.8</v>
      </c>
    </row>
    <row r="556" spans="1:7" ht="30">
      <c r="A556" s="99" t="s">
        <v>106</v>
      </c>
      <c r="B556" s="94" t="s">
        <v>178</v>
      </c>
      <c r="C556" s="94" t="s">
        <v>46</v>
      </c>
      <c r="D556" s="94" t="s">
        <v>38</v>
      </c>
      <c r="E556" s="117" t="s">
        <v>217</v>
      </c>
      <c r="F556" s="93" t="s">
        <v>103</v>
      </c>
      <c r="G556" s="92">
        <v>3079.8</v>
      </c>
    </row>
    <row r="557" spans="1:7" ht="60">
      <c r="A557" s="99" t="s">
        <v>216</v>
      </c>
      <c r="B557" s="94" t="s">
        <v>178</v>
      </c>
      <c r="C557" s="94" t="s">
        <v>46</v>
      </c>
      <c r="D557" s="94" t="s">
        <v>38</v>
      </c>
      <c r="E557" s="117" t="s">
        <v>215</v>
      </c>
      <c r="F557" s="93"/>
      <c r="G557" s="92">
        <f>G558</f>
        <v>1078.7</v>
      </c>
    </row>
    <row r="558" spans="1:7" ht="30">
      <c r="A558" s="99" t="s">
        <v>106</v>
      </c>
      <c r="B558" s="94" t="s">
        <v>178</v>
      </c>
      <c r="C558" s="94" t="s">
        <v>46</v>
      </c>
      <c r="D558" s="94" t="s">
        <v>38</v>
      </c>
      <c r="E558" s="117" t="s">
        <v>215</v>
      </c>
      <c r="F558" s="93" t="s">
        <v>103</v>
      </c>
      <c r="G558" s="92">
        <v>1078.7</v>
      </c>
    </row>
    <row r="559" spans="1:7" ht="15">
      <c r="A559" s="96" t="s">
        <v>214</v>
      </c>
      <c r="B559" s="94" t="s">
        <v>178</v>
      </c>
      <c r="C559" s="94" t="s">
        <v>30</v>
      </c>
      <c r="D559" s="94"/>
      <c r="E559" s="94"/>
      <c r="F559" s="93"/>
      <c r="G559" s="92">
        <f>G560</f>
        <v>495.8</v>
      </c>
    </row>
    <row r="560" spans="1:7" ht="15">
      <c r="A560" s="96" t="s">
        <v>27</v>
      </c>
      <c r="B560" s="94" t="s">
        <v>178</v>
      </c>
      <c r="C560" s="94" t="s">
        <v>30</v>
      </c>
      <c r="D560" s="94" t="s">
        <v>28</v>
      </c>
      <c r="E560" s="94"/>
      <c r="F560" s="93"/>
      <c r="G560" s="92">
        <f>G561</f>
        <v>495.8</v>
      </c>
    </row>
    <row r="561" spans="1:7" ht="105">
      <c r="A561" s="99" t="s">
        <v>213</v>
      </c>
      <c r="B561" s="94" t="s">
        <v>178</v>
      </c>
      <c r="C561" s="94" t="s">
        <v>30</v>
      </c>
      <c r="D561" s="94" t="s">
        <v>28</v>
      </c>
      <c r="E561" s="94" t="s">
        <v>195</v>
      </c>
      <c r="F561" s="97"/>
      <c r="G561" s="92">
        <f>G562</f>
        <v>495.8</v>
      </c>
    </row>
    <row r="562" spans="1:7" ht="30">
      <c r="A562" s="99" t="s">
        <v>212</v>
      </c>
      <c r="B562" s="94" t="s">
        <v>178</v>
      </c>
      <c r="C562" s="94" t="s">
        <v>30</v>
      </c>
      <c r="D562" s="94" t="s">
        <v>28</v>
      </c>
      <c r="E562" s="94" t="s">
        <v>211</v>
      </c>
      <c r="F562" s="97"/>
      <c r="G562" s="92">
        <f>G563</f>
        <v>495.8</v>
      </c>
    </row>
    <row r="563" spans="1:7" ht="120">
      <c r="A563" s="99" t="s">
        <v>210</v>
      </c>
      <c r="B563" s="94" t="s">
        <v>178</v>
      </c>
      <c r="C563" s="94" t="s">
        <v>30</v>
      </c>
      <c r="D563" s="94" t="s">
        <v>28</v>
      </c>
      <c r="E563" s="94" t="s">
        <v>209</v>
      </c>
      <c r="F563" s="97"/>
      <c r="G563" s="92">
        <f>G564+G565</f>
        <v>495.8</v>
      </c>
    </row>
    <row r="564" spans="1:7" ht="15">
      <c r="A564" s="98" t="s">
        <v>124</v>
      </c>
      <c r="B564" s="94" t="s">
        <v>178</v>
      </c>
      <c r="C564" s="94" t="s">
        <v>30</v>
      </c>
      <c r="D564" s="94" t="s">
        <v>28</v>
      </c>
      <c r="E564" s="94" t="s">
        <v>209</v>
      </c>
      <c r="F564" s="97" t="s">
        <v>131</v>
      </c>
      <c r="G564" s="92">
        <v>391.5</v>
      </c>
    </row>
    <row r="565" spans="1:7" ht="30">
      <c r="A565" s="96" t="s">
        <v>118</v>
      </c>
      <c r="B565" s="94" t="s">
        <v>178</v>
      </c>
      <c r="C565" s="94" t="s">
        <v>30</v>
      </c>
      <c r="D565" s="94" t="s">
        <v>28</v>
      </c>
      <c r="E565" s="94" t="s">
        <v>209</v>
      </c>
      <c r="F565" s="97" t="s">
        <v>117</v>
      </c>
      <c r="G565" s="92">
        <v>104.3</v>
      </c>
    </row>
    <row r="566" spans="1:7" ht="15">
      <c r="A566" s="116" t="s">
        <v>208</v>
      </c>
      <c r="B566" s="94" t="s">
        <v>178</v>
      </c>
      <c r="C566" s="94" t="s">
        <v>26</v>
      </c>
      <c r="D566" s="94"/>
      <c r="E566" s="94"/>
      <c r="F566" s="93"/>
      <c r="G566" s="92">
        <f>G567+G571</f>
        <v>37836.7</v>
      </c>
    </row>
    <row r="567" spans="1:7" ht="15">
      <c r="A567" s="96" t="s">
        <v>21</v>
      </c>
      <c r="B567" s="94" t="s">
        <v>178</v>
      </c>
      <c r="C567" s="94" t="s">
        <v>26</v>
      </c>
      <c r="D567" s="94" t="s">
        <v>22</v>
      </c>
      <c r="E567" s="94"/>
      <c r="F567" s="93"/>
      <c r="G567" s="92">
        <f>G568</f>
        <v>150</v>
      </c>
    </row>
    <row r="568" spans="1:7" ht="30">
      <c r="A568" s="96" t="s">
        <v>111</v>
      </c>
      <c r="B568" s="94" t="s">
        <v>178</v>
      </c>
      <c r="C568" s="94" t="s">
        <v>26</v>
      </c>
      <c r="D568" s="94" t="s">
        <v>22</v>
      </c>
      <c r="E568" s="94" t="s">
        <v>207</v>
      </c>
      <c r="F568" s="93"/>
      <c r="G568" s="92">
        <f>G569</f>
        <v>150</v>
      </c>
    </row>
    <row r="569" spans="1:7" ht="45">
      <c r="A569" s="96" t="s">
        <v>206</v>
      </c>
      <c r="B569" s="94" t="s">
        <v>178</v>
      </c>
      <c r="C569" s="94" t="s">
        <v>26</v>
      </c>
      <c r="D569" s="94" t="s">
        <v>22</v>
      </c>
      <c r="E569" s="94" t="s">
        <v>205</v>
      </c>
      <c r="F569" s="93"/>
      <c r="G569" s="92">
        <f>G570</f>
        <v>150</v>
      </c>
    </row>
    <row r="570" spans="1:7" ht="30">
      <c r="A570" s="99" t="s">
        <v>191</v>
      </c>
      <c r="B570" s="94" t="s">
        <v>178</v>
      </c>
      <c r="C570" s="94" t="s">
        <v>26</v>
      </c>
      <c r="D570" s="94" t="s">
        <v>22</v>
      </c>
      <c r="E570" s="94" t="s">
        <v>205</v>
      </c>
      <c r="F570" s="93" t="s">
        <v>189</v>
      </c>
      <c r="G570" s="92">
        <v>150</v>
      </c>
    </row>
    <row r="571" spans="1:7" ht="15">
      <c r="A571" s="96" t="s">
        <v>19</v>
      </c>
      <c r="B571" s="94" t="s">
        <v>178</v>
      </c>
      <c r="C571" s="94" t="s">
        <v>26</v>
      </c>
      <c r="D571" s="94" t="s">
        <v>20</v>
      </c>
      <c r="E571" s="94"/>
      <c r="F571" s="93"/>
      <c r="G571" s="92">
        <f>G572+G577+G580</f>
        <v>37686.7</v>
      </c>
    </row>
    <row r="572" spans="1:7" ht="30">
      <c r="A572" s="115" t="s">
        <v>204</v>
      </c>
      <c r="B572" s="94" t="s">
        <v>178</v>
      </c>
      <c r="C572" s="94" t="s">
        <v>26</v>
      </c>
      <c r="D572" s="94" t="s">
        <v>20</v>
      </c>
      <c r="E572" s="108" t="s">
        <v>203</v>
      </c>
      <c r="F572" s="93"/>
      <c r="G572" s="92">
        <f>G573+G575</f>
        <v>33870.6</v>
      </c>
    </row>
    <row r="573" spans="1:7" ht="75">
      <c r="A573" s="115" t="s">
        <v>202</v>
      </c>
      <c r="B573" s="94" t="s">
        <v>178</v>
      </c>
      <c r="C573" s="94" t="s">
        <v>26</v>
      </c>
      <c r="D573" s="94" t="s">
        <v>20</v>
      </c>
      <c r="E573" s="108" t="s">
        <v>200</v>
      </c>
      <c r="F573" s="93"/>
      <c r="G573" s="92">
        <f>G574</f>
        <v>13665.4</v>
      </c>
    </row>
    <row r="574" spans="1:7" ht="45">
      <c r="A574" s="96" t="s">
        <v>201</v>
      </c>
      <c r="B574" s="94" t="s">
        <v>178</v>
      </c>
      <c r="C574" s="94" t="s">
        <v>26</v>
      </c>
      <c r="D574" s="94" t="s">
        <v>20</v>
      </c>
      <c r="E574" s="108" t="s">
        <v>200</v>
      </c>
      <c r="F574" s="93" t="s">
        <v>199</v>
      </c>
      <c r="G574" s="92">
        <v>13665.4</v>
      </c>
    </row>
    <row r="575" spans="1:7" ht="45">
      <c r="A575" s="96" t="s">
        <v>198</v>
      </c>
      <c r="B575" s="94" t="s">
        <v>178</v>
      </c>
      <c r="C575" s="94" t="s">
        <v>26</v>
      </c>
      <c r="D575" s="94" t="s">
        <v>20</v>
      </c>
      <c r="E575" s="108" t="s">
        <v>197</v>
      </c>
      <c r="F575" s="93"/>
      <c r="G575" s="92">
        <f>G576</f>
        <v>20205.2</v>
      </c>
    </row>
    <row r="576" spans="1:7" ht="30">
      <c r="A576" s="96" t="s">
        <v>191</v>
      </c>
      <c r="B576" s="94" t="s">
        <v>178</v>
      </c>
      <c r="C576" s="94" t="s">
        <v>26</v>
      </c>
      <c r="D576" s="94" t="s">
        <v>20</v>
      </c>
      <c r="E576" s="108" t="s">
        <v>197</v>
      </c>
      <c r="F576" s="93" t="s">
        <v>189</v>
      </c>
      <c r="G576" s="92">
        <v>20205.2</v>
      </c>
    </row>
    <row r="577" spans="1:7" ht="105">
      <c r="A577" s="96" t="s">
        <v>196</v>
      </c>
      <c r="B577" s="94" t="s">
        <v>178</v>
      </c>
      <c r="C577" s="94" t="s">
        <v>26</v>
      </c>
      <c r="D577" s="94" t="s">
        <v>20</v>
      </c>
      <c r="E577" s="113" t="s">
        <v>195</v>
      </c>
      <c r="F577" s="93"/>
      <c r="G577" s="92">
        <f>G578</f>
        <v>34.6</v>
      </c>
    </row>
    <row r="578" spans="1:7" ht="45">
      <c r="A578" s="96" t="s">
        <v>194</v>
      </c>
      <c r="B578" s="94" t="s">
        <v>178</v>
      </c>
      <c r="C578" s="94" t="s">
        <v>26</v>
      </c>
      <c r="D578" s="94" t="s">
        <v>20</v>
      </c>
      <c r="E578" s="113" t="s">
        <v>193</v>
      </c>
      <c r="F578" s="114"/>
      <c r="G578" s="92">
        <f>G579</f>
        <v>34.6</v>
      </c>
    </row>
    <row r="579" spans="1:7" ht="30">
      <c r="A579" s="99" t="s">
        <v>191</v>
      </c>
      <c r="B579" s="94" t="s">
        <v>178</v>
      </c>
      <c r="C579" s="94" t="s">
        <v>26</v>
      </c>
      <c r="D579" s="94" t="s">
        <v>20</v>
      </c>
      <c r="E579" s="113" t="s">
        <v>193</v>
      </c>
      <c r="F579" s="112" t="s">
        <v>189</v>
      </c>
      <c r="G579" s="92">
        <v>34.6</v>
      </c>
    </row>
    <row r="580" spans="1:7" ht="75">
      <c r="A580" s="99" t="s">
        <v>192</v>
      </c>
      <c r="B580" s="94" t="s">
        <v>178</v>
      </c>
      <c r="C580" s="94" t="s">
        <v>26</v>
      </c>
      <c r="D580" s="94" t="s">
        <v>20</v>
      </c>
      <c r="E580" s="113" t="s">
        <v>190</v>
      </c>
      <c r="F580" s="112"/>
      <c r="G580" s="92">
        <f>G581</f>
        <v>3781.5000000000005</v>
      </c>
    </row>
    <row r="581" spans="1:7" ht="30">
      <c r="A581" s="99" t="s">
        <v>191</v>
      </c>
      <c r="B581" s="94" t="s">
        <v>178</v>
      </c>
      <c r="C581" s="94" t="s">
        <v>26</v>
      </c>
      <c r="D581" s="94" t="s">
        <v>20</v>
      </c>
      <c r="E581" s="113" t="s">
        <v>190</v>
      </c>
      <c r="F581" s="112" t="s">
        <v>189</v>
      </c>
      <c r="G581" s="92">
        <f>4677.1-895.6</f>
        <v>3781.5000000000005</v>
      </c>
    </row>
    <row r="582" spans="1:7" ht="15">
      <c r="A582" s="96" t="s">
        <v>113</v>
      </c>
      <c r="B582" s="94" t="s">
        <v>178</v>
      </c>
      <c r="C582" s="94" t="s">
        <v>16</v>
      </c>
      <c r="D582" s="94"/>
      <c r="E582" s="94"/>
      <c r="F582" s="93"/>
      <c r="G582" s="92">
        <f>G584+G591</f>
        <v>9922.400000000001</v>
      </c>
    </row>
    <row r="583" spans="1:7" ht="15">
      <c r="A583" s="96" t="s">
        <v>112</v>
      </c>
      <c r="B583" s="94" t="s">
        <v>178</v>
      </c>
      <c r="C583" s="94" t="s">
        <v>16</v>
      </c>
      <c r="D583" s="94" t="s">
        <v>14</v>
      </c>
      <c r="E583" s="94"/>
      <c r="F583" s="93"/>
      <c r="G583" s="92">
        <f>G584+G591</f>
        <v>9922.400000000001</v>
      </c>
    </row>
    <row r="584" spans="1:7" ht="30">
      <c r="A584" s="96" t="s">
        <v>111</v>
      </c>
      <c r="B584" s="94" t="s">
        <v>178</v>
      </c>
      <c r="C584" s="94" t="s">
        <v>16</v>
      </c>
      <c r="D584" s="94" t="s">
        <v>14</v>
      </c>
      <c r="E584" s="94" t="s">
        <v>110</v>
      </c>
      <c r="F584" s="93"/>
      <c r="G584" s="92">
        <f>G585</f>
        <v>8977.2</v>
      </c>
    </row>
    <row r="585" spans="1:7" ht="45">
      <c r="A585" s="96" t="s">
        <v>109</v>
      </c>
      <c r="B585" s="94" t="s">
        <v>178</v>
      </c>
      <c r="C585" s="94" t="s">
        <v>16</v>
      </c>
      <c r="D585" s="94" t="s">
        <v>14</v>
      </c>
      <c r="E585" s="94" t="s">
        <v>108</v>
      </c>
      <c r="F585" s="93"/>
      <c r="G585" s="92">
        <f>G588+G587</f>
        <v>8977.2</v>
      </c>
    </row>
    <row r="586" spans="1:7" ht="45">
      <c r="A586" s="96" t="s">
        <v>107</v>
      </c>
      <c r="B586" s="94" t="s">
        <v>178</v>
      </c>
      <c r="C586" s="94" t="s">
        <v>16</v>
      </c>
      <c r="D586" s="94" t="s">
        <v>14</v>
      </c>
      <c r="E586" s="94" t="s">
        <v>104</v>
      </c>
      <c r="F586" s="93"/>
      <c r="G586" s="92">
        <f>G587</f>
        <v>500</v>
      </c>
    </row>
    <row r="587" spans="1:7" ht="30">
      <c r="A587" s="95" t="s">
        <v>106</v>
      </c>
      <c r="B587" s="94" t="s">
        <v>178</v>
      </c>
      <c r="C587" s="94" t="s">
        <v>16</v>
      </c>
      <c r="D587" s="94" t="s">
        <v>14</v>
      </c>
      <c r="E587" s="94" t="s">
        <v>104</v>
      </c>
      <c r="F587" s="93" t="s">
        <v>103</v>
      </c>
      <c r="G587" s="92">
        <v>500</v>
      </c>
    </row>
    <row r="588" spans="1:7" ht="45">
      <c r="A588" s="96" t="s">
        <v>188</v>
      </c>
      <c r="B588" s="94" t="s">
        <v>178</v>
      </c>
      <c r="C588" s="94" t="s">
        <v>16</v>
      </c>
      <c r="D588" s="94" t="s">
        <v>14</v>
      </c>
      <c r="E588" s="94" t="s">
        <v>187</v>
      </c>
      <c r="F588" s="93"/>
      <c r="G588" s="92">
        <f>G589+G590</f>
        <v>8477.2</v>
      </c>
    </row>
    <row r="589" spans="1:7" ht="30">
      <c r="A589" s="96" t="s">
        <v>118</v>
      </c>
      <c r="B589" s="94" t="s">
        <v>178</v>
      </c>
      <c r="C589" s="94" t="s">
        <v>16</v>
      </c>
      <c r="D589" s="94" t="s">
        <v>14</v>
      </c>
      <c r="E589" s="94" t="s">
        <v>186</v>
      </c>
      <c r="F589" s="93" t="s">
        <v>117</v>
      </c>
      <c r="G589" s="92">
        <f>2000-1915</f>
        <v>85</v>
      </c>
    </row>
    <row r="590" spans="1:7" ht="30">
      <c r="A590" s="95" t="s">
        <v>106</v>
      </c>
      <c r="B590" s="94" t="s">
        <v>178</v>
      </c>
      <c r="C590" s="94" t="s">
        <v>16</v>
      </c>
      <c r="D590" s="94" t="s">
        <v>14</v>
      </c>
      <c r="E590" s="94" t="s">
        <v>186</v>
      </c>
      <c r="F590" s="93" t="s">
        <v>103</v>
      </c>
      <c r="G590" s="92">
        <f>1915+6477.2</f>
        <v>8392.2</v>
      </c>
    </row>
    <row r="591" spans="1:7" ht="45">
      <c r="A591" s="96" t="s">
        <v>185</v>
      </c>
      <c r="B591" s="94" t="s">
        <v>178</v>
      </c>
      <c r="C591" s="94" t="s">
        <v>16</v>
      </c>
      <c r="D591" s="94" t="s">
        <v>14</v>
      </c>
      <c r="E591" s="100" t="s">
        <v>184</v>
      </c>
      <c r="F591" s="93"/>
      <c r="G591" s="92">
        <f>G592</f>
        <v>945.2</v>
      </c>
    </row>
    <row r="592" spans="1:7" ht="60">
      <c r="A592" s="96" t="s">
        <v>183</v>
      </c>
      <c r="B592" s="94" t="s">
        <v>178</v>
      </c>
      <c r="C592" s="94" t="s">
        <v>16</v>
      </c>
      <c r="D592" s="94" t="s">
        <v>14</v>
      </c>
      <c r="E592" s="100" t="s">
        <v>182</v>
      </c>
      <c r="F592" s="93"/>
      <c r="G592" s="92">
        <f>G593+G595</f>
        <v>945.2</v>
      </c>
    </row>
    <row r="593" spans="1:7" ht="60">
      <c r="A593" s="95" t="s">
        <v>181</v>
      </c>
      <c r="B593" s="94" t="s">
        <v>178</v>
      </c>
      <c r="C593" s="94" t="s">
        <v>16</v>
      </c>
      <c r="D593" s="94" t="s">
        <v>14</v>
      </c>
      <c r="E593" s="100" t="s">
        <v>180</v>
      </c>
      <c r="F593" s="93"/>
      <c r="G593" s="92">
        <f>G594</f>
        <v>259</v>
      </c>
    </row>
    <row r="594" spans="1:7" ht="30">
      <c r="A594" s="95" t="s">
        <v>106</v>
      </c>
      <c r="B594" s="94" t="s">
        <v>178</v>
      </c>
      <c r="C594" s="94" t="s">
        <v>16</v>
      </c>
      <c r="D594" s="94" t="s">
        <v>14</v>
      </c>
      <c r="E594" s="100" t="s">
        <v>180</v>
      </c>
      <c r="F594" s="93" t="s">
        <v>103</v>
      </c>
      <c r="G594" s="92">
        <v>259</v>
      </c>
    </row>
    <row r="595" spans="1:7" ht="60">
      <c r="A595" s="95" t="s">
        <v>179</v>
      </c>
      <c r="B595" s="94" t="s">
        <v>178</v>
      </c>
      <c r="C595" s="94" t="s">
        <v>16</v>
      </c>
      <c r="D595" s="94" t="s">
        <v>14</v>
      </c>
      <c r="E595" s="100" t="s">
        <v>177</v>
      </c>
      <c r="F595" s="93"/>
      <c r="G595" s="92">
        <f>G596+G597</f>
        <v>686.2</v>
      </c>
    </row>
    <row r="596" spans="1:7" ht="30">
      <c r="A596" s="96" t="s">
        <v>118</v>
      </c>
      <c r="B596" s="94" t="s">
        <v>178</v>
      </c>
      <c r="C596" s="94" t="s">
        <v>16</v>
      </c>
      <c r="D596" s="94" t="s">
        <v>14</v>
      </c>
      <c r="E596" s="100" t="s">
        <v>177</v>
      </c>
      <c r="F596" s="93" t="s">
        <v>117</v>
      </c>
      <c r="G596" s="92">
        <v>19.2</v>
      </c>
    </row>
    <row r="597" spans="1:7" ht="30">
      <c r="A597" s="95" t="s">
        <v>106</v>
      </c>
      <c r="B597" s="94" t="s">
        <v>178</v>
      </c>
      <c r="C597" s="94" t="s">
        <v>16</v>
      </c>
      <c r="D597" s="94" t="s">
        <v>14</v>
      </c>
      <c r="E597" s="100" t="s">
        <v>177</v>
      </c>
      <c r="F597" s="93" t="s">
        <v>103</v>
      </c>
      <c r="G597" s="92">
        <v>667</v>
      </c>
    </row>
    <row r="598" spans="1:7" ht="42.75">
      <c r="A598" s="111" t="s">
        <v>176</v>
      </c>
      <c r="B598" s="110" t="s">
        <v>105</v>
      </c>
      <c r="C598" s="94"/>
      <c r="D598" s="94"/>
      <c r="E598" s="108"/>
      <c r="F598" s="93"/>
      <c r="G598" s="109">
        <f>G603+G612+G600+G661</f>
        <v>96559.40000000001</v>
      </c>
    </row>
    <row r="599" spans="1:7" ht="15">
      <c r="A599" s="96" t="s">
        <v>175</v>
      </c>
      <c r="B599" s="94" t="s">
        <v>105</v>
      </c>
      <c r="C599" s="94" t="s">
        <v>72</v>
      </c>
      <c r="D599" s="94"/>
      <c r="E599" s="108"/>
      <c r="F599" s="93"/>
      <c r="G599" s="107">
        <f>G600</f>
        <v>173</v>
      </c>
    </row>
    <row r="600" spans="1:7" ht="30">
      <c r="A600" s="96" t="s">
        <v>61</v>
      </c>
      <c r="B600" s="94" t="s">
        <v>105</v>
      </c>
      <c r="C600" s="94" t="s">
        <v>72</v>
      </c>
      <c r="D600" s="94" t="s">
        <v>62</v>
      </c>
      <c r="E600" s="108"/>
      <c r="F600" s="93"/>
      <c r="G600" s="107">
        <f>G601</f>
        <v>173</v>
      </c>
    </row>
    <row r="601" spans="1:7" ht="60">
      <c r="A601" s="96" t="s">
        <v>174</v>
      </c>
      <c r="B601" s="106" t="s">
        <v>105</v>
      </c>
      <c r="C601" s="94" t="s">
        <v>72</v>
      </c>
      <c r="D601" s="94" t="s">
        <v>62</v>
      </c>
      <c r="E601" s="100" t="s">
        <v>173</v>
      </c>
      <c r="F601" s="93"/>
      <c r="G601" s="107">
        <f>G602</f>
        <v>173</v>
      </c>
    </row>
    <row r="602" spans="1:7" ht="30">
      <c r="A602" s="95" t="s">
        <v>106</v>
      </c>
      <c r="B602" s="106" t="s">
        <v>105</v>
      </c>
      <c r="C602" s="94" t="s">
        <v>72</v>
      </c>
      <c r="D602" s="94" t="s">
        <v>62</v>
      </c>
      <c r="E602" s="100" t="s">
        <v>173</v>
      </c>
      <c r="F602" s="93" t="s">
        <v>103</v>
      </c>
      <c r="G602" s="107">
        <v>173</v>
      </c>
    </row>
    <row r="603" spans="1:7" ht="15">
      <c r="A603" s="96" t="s">
        <v>172</v>
      </c>
      <c r="B603" s="94" t="s">
        <v>105</v>
      </c>
      <c r="C603" s="94" t="s">
        <v>46</v>
      </c>
      <c r="D603" s="106"/>
      <c r="E603" s="100"/>
      <c r="F603" s="93"/>
      <c r="G603" s="92">
        <f>G604</f>
        <v>24252.6</v>
      </c>
    </row>
    <row r="604" spans="1:7" ht="15">
      <c r="A604" s="96" t="s">
        <v>41</v>
      </c>
      <c r="B604" s="94" t="s">
        <v>105</v>
      </c>
      <c r="C604" s="94" t="s">
        <v>46</v>
      </c>
      <c r="D604" s="94" t="s">
        <v>42</v>
      </c>
      <c r="E604" s="94"/>
      <c r="F604" s="93"/>
      <c r="G604" s="92">
        <f>G605+G610</f>
        <v>24252.6</v>
      </c>
    </row>
    <row r="605" spans="1:7" ht="15">
      <c r="A605" s="96" t="s">
        <v>171</v>
      </c>
      <c r="B605" s="94" t="s">
        <v>105</v>
      </c>
      <c r="C605" s="94" t="s">
        <v>46</v>
      </c>
      <c r="D605" s="94" t="s">
        <v>42</v>
      </c>
      <c r="E605" s="94" t="s">
        <v>170</v>
      </c>
      <c r="F605" s="93"/>
      <c r="G605" s="92">
        <f>G606+G608</f>
        <v>22486.6</v>
      </c>
    </row>
    <row r="606" spans="1:7" ht="30">
      <c r="A606" s="96" t="s">
        <v>125</v>
      </c>
      <c r="B606" s="94" t="s">
        <v>105</v>
      </c>
      <c r="C606" s="94" t="s">
        <v>46</v>
      </c>
      <c r="D606" s="94" t="s">
        <v>42</v>
      </c>
      <c r="E606" s="94" t="s">
        <v>169</v>
      </c>
      <c r="F606" s="93"/>
      <c r="G606" s="92">
        <f>G607</f>
        <v>20952</v>
      </c>
    </row>
    <row r="607" spans="1:7" ht="60">
      <c r="A607" s="98" t="s">
        <v>161</v>
      </c>
      <c r="B607" s="94" t="s">
        <v>105</v>
      </c>
      <c r="C607" s="94" t="s">
        <v>46</v>
      </c>
      <c r="D607" s="94" t="s">
        <v>42</v>
      </c>
      <c r="E607" s="94" t="s">
        <v>169</v>
      </c>
      <c r="F607" s="93" t="s">
        <v>159</v>
      </c>
      <c r="G607" s="92">
        <f>22363-826.2-584.8</f>
        <v>20952</v>
      </c>
    </row>
    <row r="608" spans="1:7" ht="30">
      <c r="A608" s="98" t="s">
        <v>149</v>
      </c>
      <c r="B608" s="94" t="s">
        <v>105</v>
      </c>
      <c r="C608" s="94" t="s">
        <v>46</v>
      </c>
      <c r="D608" s="94" t="s">
        <v>42</v>
      </c>
      <c r="E608" s="94" t="s">
        <v>168</v>
      </c>
      <c r="F608" s="93"/>
      <c r="G608" s="92">
        <f>G609</f>
        <v>1534.6</v>
      </c>
    </row>
    <row r="609" spans="1:7" ht="30">
      <c r="A609" s="95" t="s">
        <v>106</v>
      </c>
      <c r="B609" s="94" t="s">
        <v>105</v>
      </c>
      <c r="C609" s="94" t="s">
        <v>46</v>
      </c>
      <c r="D609" s="94" t="s">
        <v>42</v>
      </c>
      <c r="E609" s="94" t="s">
        <v>168</v>
      </c>
      <c r="F609" s="93" t="s">
        <v>103</v>
      </c>
      <c r="G609" s="92">
        <v>1534.6</v>
      </c>
    </row>
    <row r="610" spans="1:7" ht="90">
      <c r="A610" s="95" t="s">
        <v>147</v>
      </c>
      <c r="B610" s="94" t="s">
        <v>105</v>
      </c>
      <c r="C610" s="94" t="s">
        <v>46</v>
      </c>
      <c r="D610" s="94" t="s">
        <v>42</v>
      </c>
      <c r="E610" s="104" t="s">
        <v>143</v>
      </c>
      <c r="F610" s="104" t="s">
        <v>146</v>
      </c>
      <c r="G610" s="92">
        <f>G611</f>
        <v>1766</v>
      </c>
    </row>
    <row r="611" spans="1:7" ht="30">
      <c r="A611" s="95" t="s">
        <v>106</v>
      </c>
      <c r="B611" s="94" t="s">
        <v>105</v>
      </c>
      <c r="C611" s="94" t="s">
        <v>46</v>
      </c>
      <c r="D611" s="94" t="s">
        <v>42</v>
      </c>
      <c r="E611" s="104" t="s">
        <v>143</v>
      </c>
      <c r="F611" s="103" t="s">
        <v>103</v>
      </c>
      <c r="G611" s="92">
        <v>1766</v>
      </c>
    </row>
    <row r="612" spans="1:7" ht="15">
      <c r="A612" s="98" t="s">
        <v>167</v>
      </c>
      <c r="B612" s="94" t="s">
        <v>105</v>
      </c>
      <c r="C612" s="94" t="s">
        <v>36</v>
      </c>
      <c r="D612" s="94"/>
      <c r="E612" s="94"/>
      <c r="F612" s="93"/>
      <c r="G612" s="92">
        <f>G613+G645</f>
        <v>69077.5</v>
      </c>
    </row>
    <row r="613" spans="1:7" ht="15">
      <c r="A613" s="98" t="s">
        <v>166</v>
      </c>
      <c r="B613" s="94" t="s">
        <v>105</v>
      </c>
      <c r="C613" s="94" t="s">
        <v>36</v>
      </c>
      <c r="D613" s="94" t="s">
        <v>34</v>
      </c>
      <c r="E613" s="94"/>
      <c r="F613" s="105"/>
      <c r="G613" s="92">
        <f>G614+G621+G626+G634+G631+G639</f>
        <v>59595.100000000006</v>
      </c>
    </row>
    <row r="614" spans="1:7" ht="30">
      <c r="A614" s="96" t="s">
        <v>165</v>
      </c>
      <c r="B614" s="94" t="s">
        <v>105</v>
      </c>
      <c r="C614" s="94" t="s">
        <v>36</v>
      </c>
      <c r="D614" s="94" t="s">
        <v>34</v>
      </c>
      <c r="E614" s="94" t="s">
        <v>164</v>
      </c>
      <c r="F614" s="93"/>
      <c r="G614" s="92">
        <f>G615+G617+G619</f>
        <v>18914.300000000003</v>
      </c>
    </row>
    <row r="615" spans="1:7" ht="45">
      <c r="A615" s="96" t="s">
        <v>163</v>
      </c>
      <c r="B615" s="94" t="s">
        <v>105</v>
      </c>
      <c r="C615" s="94" t="s">
        <v>36</v>
      </c>
      <c r="D615" s="94" t="s">
        <v>34</v>
      </c>
      <c r="E615" s="94" t="s">
        <v>162</v>
      </c>
      <c r="F615" s="93"/>
      <c r="G615" s="92">
        <f>G616</f>
        <v>132.7</v>
      </c>
    </row>
    <row r="616" spans="1:7" ht="30">
      <c r="A616" s="102" t="s">
        <v>139</v>
      </c>
      <c r="B616" s="94" t="s">
        <v>105</v>
      </c>
      <c r="C616" s="94" t="s">
        <v>36</v>
      </c>
      <c r="D616" s="94" t="s">
        <v>34</v>
      </c>
      <c r="E616" s="94" t="s">
        <v>162</v>
      </c>
      <c r="F616" s="93" t="s">
        <v>138</v>
      </c>
      <c r="G616" s="92">
        <v>132.7</v>
      </c>
    </row>
    <row r="617" spans="1:7" ht="30">
      <c r="A617" s="96" t="s">
        <v>125</v>
      </c>
      <c r="B617" s="94" t="s">
        <v>105</v>
      </c>
      <c r="C617" s="94" t="s">
        <v>36</v>
      </c>
      <c r="D617" s="94" t="s">
        <v>34</v>
      </c>
      <c r="E617" s="94" t="s">
        <v>160</v>
      </c>
      <c r="F617" s="93"/>
      <c r="G617" s="92">
        <f>G618</f>
        <v>17247.4</v>
      </c>
    </row>
    <row r="618" spans="1:7" ht="60">
      <c r="A618" s="98" t="s">
        <v>161</v>
      </c>
      <c r="B618" s="94" t="s">
        <v>105</v>
      </c>
      <c r="C618" s="94" t="s">
        <v>36</v>
      </c>
      <c r="D618" s="94" t="s">
        <v>34</v>
      </c>
      <c r="E618" s="94" t="s">
        <v>160</v>
      </c>
      <c r="F618" s="93" t="s">
        <v>159</v>
      </c>
      <c r="G618" s="92">
        <f>19146-1500-503+104.4</f>
        <v>17247.4</v>
      </c>
    </row>
    <row r="619" spans="1:7" ht="30">
      <c r="A619" s="98" t="s">
        <v>149</v>
      </c>
      <c r="B619" s="94" t="s">
        <v>105</v>
      </c>
      <c r="C619" s="94" t="s">
        <v>36</v>
      </c>
      <c r="D619" s="94" t="s">
        <v>34</v>
      </c>
      <c r="E619" s="94" t="s">
        <v>158</v>
      </c>
      <c r="F619" s="93"/>
      <c r="G619" s="92">
        <f>G620</f>
        <v>1534.2</v>
      </c>
    </row>
    <row r="620" spans="1:7" ht="30">
      <c r="A620" s="95" t="s">
        <v>106</v>
      </c>
      <c r="B620" s="94" t="s">
        <v>105</v>
      </c>
      <c r="C620" s="94" t="s">
        <v>36</v>
      </c>
      <c r="D620" s="94" t="s">
        <v>34</v>
      </c>
      <c r="E620" s="94" t="s">
        <v>158</v>
      </c>
      <c r="F620" s="93" t="s">
        <v>103</v>
      </c>
      <c r="G620" s="92">
        <v>1534.2</v>
      </c>
    </row>
    <row r="621" spans="1:7" ht="15">
      <c r="A621" s="96" t="s">
        <v>157</v>
      </c>
      <c r="B621" s="94" t="s">
        <v>105</v>
      </c>
      <c r="C621" s="94" t="s">
        <v>36</v>
      </c>
      <c r="D621" s="94" t="s">
        <v>34</v>
      </c>
      <c r="E621" s="94" t="s">
        <v>156</v>
      </c>
      <c r="F621" s="93"/>
      <c r="G621" s="92">
        <f>G622+G624</f>
        <v>2780.3999999999996</v>
      </c>
    </row>
    <row r="622" spans="1:7" ht="30">
      <c r="A622" s="96" t="s">
        <v>125</v>
      </c>
      <c r="B622" s="94" t="s">
        <v>105</v>
      </c>
      <c r="C622" s="94" t="s">
        <v>36</v>
      </c>
      <c r="D622" s="94" t="s">
        <v>34</v>
      </c>
      <c r="E622" s="94" t="s">
        <v>155</v>
      </c>
      <c r="F622" s="93"/>
      <c r="G622" s="92">
        <f>G623</f>
        <v>2621.7</v>
      </c>
    </row>
    <row r="623" spans="1:7" ht="60">
      <c r="A623" s="98" t="s">
        <v>151</v>
      </c>
      <c r="B623" s="94" t="s">
        <v>105</v>
      </c>
      <c r="C623" s="94" t="s">
        <v>36</v>
      </c>
      <c r="D623" s="94" t="s">
        <v>34</v>
      </c>
      <c r="E623" s="94" t="s">
        <v>155</v>
      </c>
      <c r="F623" s="93" t="s">
        <v>144</v>
      </c>
      <c r="G623" s="92">
        <f>2779-207+49.7</f>
        <v>2621.7</v>
      </c>
    </row>
    <row r="624" spans="1:7" ht="30">
      <c r="A624" s="98" t="s">
        <v>149</v>
      </c>
      <c r="B624" s="94" t="s">
        <v>105</v>
      </c>
      <c r="C624" s="94" t="s">
        <v>36</v>
      </c>
      <c r="D624" s="94" t="s">
        <v>34</v>
      </c>
      <c r="E624" s="94" t="s">
        <v>154</v>
      </c>
      <c r="F624" s="93"/>
      <c r="G624" s="92">
        <f>G625</f>
        <v>158.7</v>
      </c>
    </row>
    <row r="625" spans="1:7" ht="30">
      <c r="A625" s="102" t="s">
        <v>139</v>
      </c>
      <c r="B625" s="94" t="s">
        <v>105</v>
      </c>
      <c r="C625" s="94" t="s">
        <v>36</v>
      </c>
      <c r="D625" s="94" t="s">
        <v>34</v>
      </c>
      <c r="E625" s="94" t="s">
        <v>154</v>
      </c>
      <c r="F625" s="93" t="s">
        <v>138</v>
      </c>
      <c r="G625" s="92">
        <v>158.7</v>
      </c>
    </row>
    <row r="626" spans="1:7" ht="15">
      <c r="A626" s="96" t="s">
        <v>153</v>
      </c>
      <c r="B626" s="94" t="s">
        <v>105</v>
      </c>
      <c r="C626" s="94" t="s">
        <v>36</v>
      </c>
      <c r="D626" s="94" t="s">
        <v>34</v>
      </c>
      <c r="E626" s="94" t="s">
        <v>152</v>
      </c>
      <c r="F626" s="93"/>
      <c r="G626" s="92">
        <f>G627+G629</f>
        <v>10356</v>
      </c>
    </row>
    <row r="627" spans="1:7" ht="30">
      <c r="A627" s="96" t="s">
        <v>125</v>
      </c>
      <c r="B627" s="94" t="s">
        <v>105</v>
      </c>
      <c r="C627" s="94" t="s">
        <v>36</v>
      </c>
      <c r="D627" s="94" t="s">
        <v>34</v>
      </c>
      <c r="E627" s="94" t="s">
        <v>150</v>
      </c>
      <c r="F627" s="93"/>
      <c r="G627" s="92">
        <f>G628</f>
        <v>9987.1</v>
      </c>
    </row>
    <row r="628" spans="1:7" ht="60">
      <c r="A628" s="98" t="s">
        <v>151</v>
      </c>
      <c r="B628" s="94" t="s">
        <v>105</v>
      </c>
      <c r="C628" s="94" t="s">
        <v>36</v>
      </c>
      <c r="D628" s="94" t="s">
        <v>34</v>
      </c>
      <c r="E628" s="94" t="s">
        <v>150</v>
      </c>
      <c r="F628" s="93" t="s">
        <v>144</v>
      </c>
      <c r="G628" s="92">
        <f>10117-245+115.1</f>
        <v>9987.1</v>
      </c>
    </row>
    <row r="629" spans="1:7" ht="30">
      <c r="A629" s="98" t="s">
        <v>149</v>
      </c>
      <c r="B629" s="94" t="s">
        <v>105</v>
      </c>
      <c r="C629" s="94" t="s">
        <v>36</v>
      </c>
      <c r="D629" s="94" t="s">
        <v>34</v>
      </c>
      <c r="E629" s="94" t="s">
        <v>148</v>
      </c>
      <c r="F629" s="93"/>
      <c r="G629" s="92">
        <f>G630</f>
        <v>368.9</v>
      </c>
    </row>
    <row r="630" spans="1:7" ht="30">
      <c r="A630" s="102" t="s">
        <v>139</v>
      </c>
      <c r="B630" s="94" t="s">
        <v>105</v>
      </c>
      <c r="C630" s="94" t="s">
        <v>36</v>
      </c>
      <c r="D630" s="94" t="s">
        <v>34</v>
      </c>
      <c r="E630" s="94" t="s">
        <v>148</v>
      </c>
      <c r="F630" s="93" t="s">
        <v>138</v>
      </c>
      <c r="G630" s="92">
        <v>368.9</v>
      </c>
    </row>
    <row r="631" spans="1:7" ht="90">
      <c r="A631" s="95" t="s">
        <v>147</v>
      </c>
      <c r="B631" s="94" t="s">
        <v>105</v>
      </c>
      <c r="C631" s="94" t="s">
        <v>36</v>
      </c>
      <c r="D631" s="94" t="s">
        <v>34</v>
      </c>
      <c r="E631" s="104" t="s">
        <v>143</v>
      </c>
      <c r="F631" s="104" t="s">
        <v>146</v>
      </c>
      <c r="G631" s="92">
        <f>G632+G633</f>
        <v>2121</v>
      </c>
    </row>
    <row r="632" spans="1:7" ht="60">
      <c r="A632" s="95" t="s">
        <v>145</v>
      </c>
      <c r="B632" s="94" t="s">
        <v>105</v>
      </c>
      <c r="C632" s="94" t="s">
        <v>36</v>
      </c>
      <c r="D632" s="94" t="s">
        <v>34</v>
      </c>
      <c r="E632" s="104" t="s">
        <v>143</v>
      </c>
      <c r="F632" s="103" t="s">
        <v>144</v>
      </c>
      <c r="G632" s="92">
        <v>905</v>
      </c>
    </row>
    <row r="633" spans="1:7" ht="30">
      <c r="A633" s="95" t="s">
        <v>106</v>
      </c>
      <c r="B633" s="94" t="s">
        <v>105</v>
      </c>
      <c r="C633" s="94" t="s">
        <v>36</v>
      </c>
      <c r="D633" s="94" t="s">
        <v>34</v>
      </c>
      <c r="E633" s="104" t="s">
        <v>143</v>
      </c>
      <c r="F633" s="103" t="s">
        <v>103</v>
      </c>
      <c r="G633" s="92">
        <v>1216</v>
      </c>
    </row>
    <row r="634" spans="1:7" ht="30">
      <c r="A634" s="96" t="s">
        <v>111</v>
      </c>
      <c r="B634" s="94" t="s">
        <v>105</v>
      </c>
      <c r="C634" s="94" t="s">
        <v>36</v>
      </c>
      <c r="D634" s="94" t="s">
        <v>34</v>
      </c>
      <c r="E634" s="94" t="s">
        <v>110</v>
      </c>
      <c r="F634" s="93"/>
      <c r="G634" s="92">
        <f>G635+G643</f>
        <v>23856.7</v>
      </c>
    </row>
    <row r="635" spans="1:7" ht="30">
      <c r="A635" s="96" t="s">
        <v>142</v>
      </c>
      <c r="B635" s="94" t="s">
        <v>105</v>
      </c>
      <c r="C635" s="94" t="s">
        <v>36</v>
      </c>
      <c r="D635" s="94" t="s">
        <v>34</v>
      </c>
      <c r="E635" s="94" t="s">
        <v>141</v>
      </c>
      <c r="F635" s="93"/>
      <c r="G635" s="92">
        <f>G636+G637+G638</f>
        <v>23756.7</v>
      </c>
    </row>
    <row r="636" spans="1:7" ht="30">
      <c r="A636" s="96" t="s">
        <v>118</v>
      </c>
      <c r="B636" s="94" t="s">
        <v>105</v>
      </c>
      <c r="C636" s="94" t="s">
        <v>36</v>
      </c>
      <c r="D636" s="94" t="s">
        <v>34</v>
      </c>
      <c r="E636" s="94" t="s">
        <v>141</v>
      </c>
      <c r="F636" s="93" t="s">
        <v>117</v>
      </c>
      <c r="G636" s="92">
        <v>540</v>
      </c>
    </row>
    <row r="637" spans="1:7" ht="30">
      <c r="A637" s="102" t="s">
        <v>139</v>
      </c>
      <c r="B637" s="94" t="s">
        <v>105</v>
      </c>
      <c r="C637" s="94" t="s">
        <v>36</v>
      </c>
      <c r="D637" s="94" t="s">
        <v>34</v>
      </c>
      <c r="E637" s="94" t="s">
        <v>141</v>
      </c>
      <c r="F637" s="93" t="s">
        <v>138</v>
      </c>
      <c r="G637" s="92">
        <f>255+894</f>
        <v>1149</v>
      </c>
    </row>
    <row r="638" spans="1:7" ht="30">
      <c r="A638" s="96" t="s">
        <v>106</v>
      </c>
      <c r="B638" s="94" t="s">
        <v>105</v>
      </c>
      <c r="C638" s="94" t="s">
        <v>36</v>
      </c>
      <c r="D638" s="94" t="s">
        <v>34</v>
      </c>
      <c r="E638" s="94" t="s">
        <v>141</v>
      </c>
      <c r="F638" s="93" t="s">
        <v>103</v>
      </c>
      <c r="G638" s="92">
        <f>6745+13000+2322.7</f>
        <v>22067.7</v>
      </c>
    </row>
    <row r="639" spans="1:7" ht="45">
      <c r="A639" s="96" t="s">
        <v>140</v>
      </c>
      <c r="B639" s="94" t="s">
        <v>105</v>
      </c>
      <c r="C639" s="94" t="s">
        <v>36</v>
      </c>
      <c r="D639" s="94" t="s">
        <v>34</v>
      </c>
      <c r="E639" s="94" t="s">
        <v>137</v>
      </c>
      <c r="F639" s="93"/>
      <c r="G639" s="92">
        <f>G641+G642+G640</f>
        <v>1566.6999999999998</v>
      </c>
    </row>
    <row r="640" spans="1:7" ht="30">
      <c r="A640" s="96" t="s">
        <v>118</v>
      </c>
      <c r="B640" s="94" t="s">
        <v>105</v>
      </c>
      <c r="C640" s="94" t="s">
        <v>36</v>
      </c>
      <c r="D640" s="94" t="s">
        <v>34</v>
      </c>
      <c r="E640" s="94" t="s">
        <v>137</v>
      </c>
      <c r="F640" s="93" t="s">
        <v>117</v>
      </c>
      <c r="G640" s="92">
        <v>14.1</v>
      </c>
    </row>
    <row r="641" spans="1:7" ht="30">
      <c r="A641" s="102" t="s">
        <v>139</v>
      </c>
      <c r="B641" s="94" t="s">
        <v>105</v>
      </c>
      <c r="C641" s="94" t="s">
        <v>36</v>
      </c>
      <c r="D641" s="94" t="s">
        <v>34</v>
      </c>
      <c r="E641" s="94" t="s">
        <v>137</v>
      </c>
      <c r="F641" s="93" t="s">
        <v>138</v>
      </c>
      <c r="G641" s="92">
        <v>61.1</v>
      </c>
    </row>
    <row r="642" spans="1:7" ht="30">
      <c r="A642" s="96" t="s">
        <v>106</v>
      </c>
      <c r="B642" s="94" t="s">
        <v>105</v>
      </c>
      <c r="C642" s="94" t="s">
        <v>36</v>
      </c>
      <c r="D642" s="94" t="s">
        <v>34</v>
      </c>
      <c r="E642" s="94" t="s">
        <v>137</v>
      </c>
      <c r="F642" s="93" t="s">
        <v>103</v>
      </c>
      <c r="G642" s="92">
        <v>1491.5</v>
      </c>
    </row>
    <row r="643" spans="1:7" ht="60">
      <c r="A643" s="101" t="s">
        <v>136</v>
      </c>
      <c r="B643" s="94" t="s">
        <v>105</v>
      </c>
      <c r="C643" s="94" t="s">
        <v>36</v>
      </c>
      <c r="D643" s="94" t="s">
        <v>34</v>
      </c>
      <c r="E643" s="100" t="s">
        <v>135</v>
      </c>
      <c r="F643" s="93"/>
      <c r="G643" s="92">
        <f>G644</f>
        <v>100</v>
      </c>
    </row>
    <row r="644" spans="1:7" ht="30">
      <c r="A644" s="96" t="s">
        <v>118</v>
      </c>
      <c r="B644" s="94" t="s">
        <v>105</v>
      </c>
      <c r="C644" s="94" t="s">
        <v>36</v>
      </c>
      <c r="D644" s="94" t="s">
        <v>34</v>
      </c>
      <c r="E644" s="100" t="s">
        <v>135</v>
      </c>
      <c r="F644" s="93" t="s">
        <v>117</v>
      </c>
      <c r="G644" s="92">
        <v>100</v>
      </c>
    </row>
    <row r="645" spans="1:7" ht="30">
      <c r="A645" s="96" t="s">
        <v>31</v>
      </c>
      <c r="B645" s="94" t="s">
        <v>105</v>
      </c>
      <c r="C645" s="94" t="s">
        <v>36</v>
      </c>
      <c r="D645" s="94" t="s">
        <v>32</v>
      </c>
      <c r="E645" s="94"/>
      <c r="F645" s="93"/>
      <c r="G645" s="92">
        <f>G646+G654</f>
        <v>9482.4</v>
      </c>
    </row>
    <row r="646" spans="1:7" ht="45">
      <c r="A646" s="99" t="s">
        <v>134</v>
      </c>
      <c r="B646" s="94" t="s">
        <v>105</v>
      </c>
      <c r="C646" s="94" t="s">
        <v>36</v>
      </c>
      <c r="D646" s="94" t="s">
        <v>32</v>
      </c>
      <c r="E646" s="94" t="s">
        <v>133</v>
      </c>
      <c r="F646" s="93"/>
      <c r="G646" s="92">
        <f>G647</f>
        <v>3889.5</v>
      </c>
    </row>
    <row r="647" spans="1:7" ht="15">
      <c r="A647" s="99" t="s">
        <v>132</v>
      </c>
      <c r="B647" s="94" t="s">
        <v>105</v>
      </c>
      <c r="C647" s="94" t="s">
        <v>36</v>
      </c>
      <c r="D647" s="94" t="s">
        <v>32</v>
      </c>
      <c r="E647" s="94" t="s">
        <v>127</v>
      </c>
      <c r="F647" s="93"/>
      <c r="G647" s="92">
        <f>G648+G649+G650+G651+G652+G653</f>
        <v>3889.5</v>
      </c>
    </row>
    <row r="648" spans="1:7" ht="15">
      <c r="A648" s="98" t="s">
        <v>124</v>
      </c>
      <c r="B648" s="94" t="s">
        <v>105</v>
      </c>
      <c r="C648" s="94" t="s">
        <v>36</v>
      </c>
      <c r="D648" s="94" t="s">
        <v>32</v>
      </c>
      <c r="E648" s="94" t="s">
        <v>127</v>
      </c>
      <c r="F648" s="97" t="s">
        <v>131</v>
      </c>
      <c r="G648" s="92">
        <f>2701+208.6</f>
        <v>2909.6</v>
      </c>
    </row>
    <row r="649" spans="1:7" ht="30">
      <c r="A649" s="98" t="s">
        <v>122</v>
      </c>
      <c r="B649" s="94" t="s">
        <v>105</v>
      </c>
      <c r="C649" s="94" t="s">
        <v>36</v>
      </c>
      <c r="D649" s="94" t="s">
        <v>32</v>
      </c>
      <c r="E649" s="94" t="s">
        <v>127</v>
      </c>
      <c r="F649" s="97" t="s">
        <v>130</v>
      </c>
      <c r="G649" s="92">
        <v>3</v>
      </c>
    </row>
    <row r="650" spans="1:7" ht="30">
      <c r="A650" s="98" t="s">
        <v>120</v>
      </c>
      <c r="B650" s="94" t="s">
        <v>105</v>
      </c>
      <c r="C650" s="94" t="s">
        <v>36</v>
      </c>
      <c r="D650" s="94" t="s">
        <v>32</v>
      </c>
      <c r="E650" s="94" t="s">
        <v>127</v>
      </c>
      <c r="F650" s="97" t="s">
        <v>119</v>
      </c>
      <c r="G650" s="92">
        <f>90+1.8</f>
        <v>91.8</v>
      </c>
    </row>
    <row r="651" spans="1:7" ht="30">
      <c r="A651" s="96" t="s">
        <v>118</v>
      </c>
      <c r="B651" s="94" t="s">
        <v>105</v>
      </c>
      <c r="C651" s="94" t="s">
        <v>36</v>
      </c>
      <c r="D651" s="94" t="s">
        <v>32</v>
      </c>
      <c r="E651" s="94" t="s">
        <v>127</v>
      </c>
      <c r="F651" s="97" t="s">
        <v>117</v>
      </c>
      <c r="G651" s="92">
        <f>651+39.6+169</f>
        <v>859.6</v>
      </c>
    </row>
    <row r="652" spans="1:7" ht="30">
      <c r="A652" s="98" t="s">
        <v>129</v>
      </c>
      <c r="B652" s="94" t="s">
        <v>105</v>
      </c>
      <c r="C652" s="94" t="s">
        <v>36</v>
      </c>
      <c r="D652" s="94" t="s">
        <v>32</v>
      </c>
      <c r="E652" s="94" t="s">
        <v>127</v>
      </c>
      <c r="F652" s="97" t="s">
        <v>128</v>
      </c>
      <c r="G652" s="92">
        <v>21</v>
      </c>
    </row>
    <row r="653" spans="1:7" ht="30">
      <c r="A653" s="98" t="s">
        <v>116</v>
      </c>
      <c r="B653" s="94" t="s">
        <v>105</v>
      </c>
      <c r="C653" s="94" t="s">
        <v>36</v>
      </c>
      <c r="D653" s="94" t="s">
        <v>32</v>
      </c>
      <c r="E653" s="94" t="s">
        <v>127</v>
      </c>
      <c r="F653" s="97" t="s">
        <v>114</v>
      </c>
      <c r="G653" s="92">
        <f>4+0.5</f>
        <v>4.5</v>
      </c>
    </row>
    <row r="654" spans="1:7" ht="90">
      <c r="A654" s="96" t="s">
        <v>126</v>
      </c>
      <c r="B654" s="94" t="s">
        <v>105</v>
      </c>
      <c r="C654" s="94" t="s">
        <v>36</v>
      </c>
      <c r="D654" s="94" t="s">
        <v>32</v>
      </c>
      <c r="E654" s="94" t="s">
        <v>115</v>
      </c>
      <c r="F654" s="93"/>
      <c r="G654" s="92">
        <f>G655</f>
        <v>5592.9</v>
      </c>
    </row>
    <row r="655" spans="1:7" ht="30">
      <c r="A655" s="96" t="s">
        <v>125</v>
      </c>
      <c r="B655" s="94" t="s">
        <v>105</v>
      </c>
      <c r="C655" s="94" t="s">
        <v>36</v>
      </c>
      <c r="D655" s="94" t="s">
        <v>32</v>
      </c>
      <c r="E655" s="94" t="s">
        <v>115</v>
      </c>
      <c r="F655" s="93"/>
      <c r="G655" s="92">
        <f>G656+G657+G658+G659++G660</f>
        <v>5592.9</v>
      </c>
    </row>
    <row r="656" spans="1:7" ht="15">
      <c r="A656" s="98" t="s">
        <v>124</v>
      </c>
      <c r="B656" s="94" t="s">
        <v>105</v>
      </c>
      <c r="C656" s="94" t="s">
        <v>36</v>
      </c>
      <c r="D656" s="94" t="s">
        <v>32</v>
      </c>
      <c r="E656" s="94" t="s">
        <v>115</v>
      </c>
      <c r="F656" s="97" t="s">
        <v>123</v>
      </c>
      <c r="G656" s="92">
        <v>4654</v>
      </c>
    </row>
    <row r="657" spans="1:7" ht="30">
      <c r="A657" s="98" t="s">
        <v>122</v>
      </c>
      <c r="B657" s="94" t="s">
        <v>105</v>
      </c>
      <c r="C657" s="94" t="s">
        <v>36</v>
      </c>
      <c r="D657" s="94" t="s">
        <v>32</v>
      </c>
      <c r="E657" s="94" t="s">
        <v>115</v>
      </c>
      <c r="F657" s="97" t="s">
        <v>121</v>
      </c>
      <c r="G657" s="92">
        <v>3</v>
      </c>
    </row>
    <row r="658" spans="1:7" ht="30">
      <c r="A658" s="98" t="s">
        <v>120</v>
      </c>
      <c r="B658" s="94" t="s">
        <v>105</v>
      </c>
      <c r="C658" s="94" t="s">
        <v>36</v>
      </c>
      <c r="D658" s="94" t="s">
        <v>32</v>
      </c>
      <c r="E658" s="94" t="s">
        <v>115</v>
      </c>
      <c r="F658" s="97" t="s">
        <v>119</v>
      </c>
      <c r="G658" s="92">
        <f>268+16.2-0.5</f>
        <v>283.7</v>
      </c>
    </row>
    <row r="659" spans="1:7" ht="30">
      <c r="A659" s="96" t="s">
        <v>118</v>
      </c>
      <c r="B659" s="94" t="s">
        <v>105</v>
      </c>
      <c r="C659" s="94" t="s">
        <v>36</v>
      </c>
      <c r="D659" s="94" t="s">
        <v>32</v>
      </c>
      <c r="E659" s="94" t="s">
        <v>115</v>
      </c>
      <c r="F659" s="97" t="s">
        <v>117</v>
      </c>
      <c r="G659" s="92">
        <f>582+49.6+0.5+12.2</f>
        <v>644.3000000000001</v>
      </c>
    </row>
    <row r="660" spans="1:7" ht="30">
      <c r="A660" s="98" t="s">
        <v>116</v>
      </c>
      <c r="B660" s="94" t="s">
        <v>105</v>
      </c>
      <c r="C660" s="94" t="s">
        <v>36</v>
      </c>
      <c r="D660" s="94" t="s">
        <v>32</v>
      </c>
      <c r="E660" s="94" t="s">
        <v>115</v>
      </c>
      <c r="F660" s="97" t="s">
        <v>114</v>
      </c>
      <c r="G660" s="92">
        <f>7+0.9</f>
        <v>7.9</v>
      </c>
    </row>
    <row r="661" spans="1:7" ht="15">
      <c r="A661" s="96" t="s">
        <v>113</v>
      </c>
      <c r="B661" s="94" t="s">
        <v>105</v>
      </c>
      <c r="C661" s="94" t="s">
        <v>16</v>
      </c>
      <c r="D661" s="94"/>
      <c r="E661" s="94"/>
      <c r="F661" s="93"/>
      <c r="G661" s="92">
        <f>G663+G668</f>
        <v>3056.3</v>
      </c>
    </row>
    <row r="662" spans="1:7" ht="15">
      <c r="A662" s="96" t="s">
        <v>112</v>
      </c>
      <c r="B662" s="94" t="s">
        <v>105</v>
      </c>
      <c r="C662" s="94" t="s">
        <v>16</v>
      </c>
      <c r="D662" s="94" t="s">
        <v>14</v>
      </c>
      <c r="E662" s="94"/>
      <c r="F662" s="93"/>
      <c r="G662" s="92">
        <f>G663+G668</f>
        <v>3056.3</v>
      </c>
    </row>
    <row r="663" spans="1:7" ht="30">
      <c r="A663" s="96" t="s">
        <v>111</v>
      </c>
      <c r="B663" s="94" t="s">
        <v>105</v>
      </c>
      <c r="C663" s="94" t="s">
        <v>16</v>
      </c>
      <c r="D663" s="94" t="s">
        <v>14</v>
      </c>
      <c r="E663" s="94" t="s">
        <v>110</v>
      </c>
      <c r="F663" s="93"/>
      <c r="G663" s="92">
        <f>G664</f>
        <v>3056.3</v>
      </c>
    </row>
    <row r="664" spans="1:7" ht="45">
      <c r="A664" s="96" t="s">
        <v>109</v>
      </c>
      <c r="B664" s="94" t="s">
        <v>105</v>
      </c>
      <c r="C664" s="94" t="s">
        <v>16</v>
      </c>
      <c r="D664" s="94" t="s">
        <v>14</v>
      </c>
      <c r="E664" s="94" t="s">
        <v>108</v>
      </c>
      <c r="F664" s="93"/>
      <c r="G664" s="92">
        <f>G666</f>
        <v>3056.3</v>
      </c>
    </row>
    <row r="665" spans="1:7" ht="45">
      <c r="A665" s="96" t="s">
        <v>107</v>
      </c>
      <c r="B665" s="94" t="s">
        <v>105</v>
      </c>
      <c r="C665" s="94" t="s">
        <v>16</v>
      </c>
      <c r="D665" s="94" t="s">
        <v>14</v>
      </c>
      <c r="E665" s="94" t="s">
        <v>104</v>
      </c>
      <c r="F665" s="93"/>
      <c r="G665" s="92">
        <f>G666</f>
        <v>3056.3</v>
      </c>
    </row>
    <row r="666" spans="1:7" ht="14.25" customHeight="1">
      <c r="A666" s="95" t="s">
        <v>106</v>
      </c>
      <c r="B666" s="94" t="s">
        <v>105</v>
      </c>
      <c r="C666" s="94" t="s">
        <v>16</v>
      </c>
      <c r="D666" s="94" t="s">
        <v>14</v>
      </c>
      <c r="E666" s="94" t="s">
        <v>104</v>
      </c>
      <c r="F666" s="93" t="s">
        <v>103</v>
      </c>
      <c r="G666" s="92">
        <v>3056.3</v>
      </c>
    </row>
    <row r="667" spans="1:7" ht="15.75" customHeight="1">
      <c r="A667" s="91"/>
      <c r="B667" s="90"/>
      <c r="C667" s="90"/>
      <c r="D667" s="89"/>
      <c r="E667" s="89"/>
      <c r="F667" s="88"/>
      <c r="G667" s="87">
        <f>G12+G25+G166+G184+G210+G223+G334+G351+G399+G418+G598</f>
        <v>1383244.84625</v>
      </c>
    </row>
    <row r="670" ht="19.5" customHeight="1"/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4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50.00390625" style="82" customWidth="1"/>
    <col min="2" max="2" width="7.00390625" style="82" customWidth="1"/>
    <col min="3" max="4" width="7.28125" style="82" customWidth="1"/>
    <col min="5" max="5" width="11.140625" style="82" customWidth="1"/>
    <col min="6" max="6" width="9.57421875" style="86" customWidth="1"/>
    <col min="7" max="7" width="13.8515625" style="82" customWidth="1"/>
    <col min="8" max="8" width="12.421875" style="82" customWidth="1"/>
    <col min="9" max="16384" width="9.140625" style="82" customWidth="1"/>
  </cols>
  <sheetData>
    <row r="1" spans="4:7" ht="15.75" customHeight="1" hidden="1">
      <c r="D1" s="155"/>
      <c r="E1" s="155"/>
      <c r="F1" s="155"/>
      <c r="G1" s="155"/>
    </row>
    <row r="2" spans="4:7" ht="15">
      <c r="D2" s="154" t="s">
        <v>563</v>
      </c>
      <c r="E2" s="154"/>
      <c r="F2" s="154"/>
      <c r="G2" s="154"/>
    </row>
    <row r="3" spans="4:7" ht="30" customHeight="1">
      <c r="D3" s="153" t="s">
        <v>529</v>
      </c>
      <c r="E3" s="153"/>
      <c r="F3" s="153"/>
      <c r="G3" s="153"/>
    </row>
    <row r="4" spans="4:7" ht="15" customHeight="1">
      <c r="D4" s="153" t="s">
        <v>562</v>
      </c>
      <c r="E4" s="153"/>
      <c r="F4" s="153"/>
      <c r="G4" s="153"/>
    </row>
    <row r="6" spans="1:8" ht="23.25" customHeight="1">
      <c r="A6" s="152" t="s">
        <v>561</v>
      </c>
      <c r="B6" s="152"/>
      <c r="C6" s="152"/>
      <c r="D6" s="152"/>
      <c r="E6" s="152"/>
      <c r="F6" s="152"/>
      <c r="G6" s="152"/>
      <c r="H6" s="152"/>
    </row>
    <row r="7" spans="1:7" ht="15" customHeight="1">
      <c r="A7" s="151"/>
      <c r="B7" s="151"/>
      <c r="C7" s="151"/>
      <c r="D7" s="151"/>
      <c r="E7" s="151"/>
      <c r="F7" s="151"/>
      <c r="G7" s="151"/>
    </row>
    <row r="8" spans="7:8" ht="15">
      <c r="G8" s="86"/>
      <c r="H8" s="86" t="s">
        <v>98</v>
      </c>
    </row>
    <row r="9" spans="1:8" ht="42.75">
      <c r="A9" s="149" t="s">
        <v>526</v>
      </c>
      <c r="B9" s="149" t="s">
        <v>525</v>
      </c>
      <c r="C9" s="149" t="s">
        <v>524</v>
      </c>
      <c r="D9" s="149" t="s">
        <v>523</v>
      </c>
      <c r="E9" s="149" t="s">
        <v>522</v>
      </c>
      <c r="F9" s="150" t="s">
        <v>521</v>
      </c>
      <c r="G9" s="149" t="s">
        <v>560</v>
      </c>
      <c r="H9" s="149" t="s">
        <v>559</v>
      </c>
    </row>
    <row r="10" spans="1:8" ht="15" customHeight="1" hidden="1">
      <c r="A10" s="149"/>
      <c r="B10" s="149"/>
      <c r="C10" s="149"/>
      <c r="D10" s="149"/>
      <c r="E10" s="149"/>
      <c r="F10" s="150"/>
      <c r="G10" s="149"/>
      <c r="H10" s="89"/>
    </row>
    <row r="11" spans="1:8" ht="15" customHeight="1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7</v>
      </c>
      <c r="H11" s="182">
        <v>8</v>
      </c>
    </row>
    <row r="12" spans="1:8" ht="28.5">
      <c r="A12" s="135" t="s">
        <v>519</v>
      </c>
      <c r="B12" s="110" t="s">
        <v>517</v>
      </c>
      <c r="C12" s="125"/>
      <c r="D12" s="125"/>
      <c r="E12" s="125"/>
      <c r="F12" s="124"/>
      <c r="G12" s="109">
        <f>G13</f>
        <v>5690.24</v>
      </c>
      <c r="H12" s="109">
        <f>H13</f>
        <v>5969.0019999999995</v>
      </c>
    </row>
    <row r="13" spans="1:8" ht="15">
      <c r="A13" s="96" t="s">
        <v>338</v>
      </c>
      <c r="B13" s="94" t="s">
        <v>517</v>
      </c>
      <c r="C13" s="94" t="s">
        <v>94</v>
      </c>
      <c r="D13" s="94"/>
      <c r="E13" s="94"/>
      <c r="F13" s="93"/>
      <c r="G13" s="92">
        <f>G14</f>
        <v>5690.24</v>
      </c>
      <c r="H13" s="92">
        <f>H14</f>
        <v>5969.0019999999995</v>
      </c>
    </row>
    <row r="14" spans="1:8" ht="60">
      <c r="A14" s="99" t="s">
        <v>89</v>
      </c>
      <c r="B14" s="94" t="s">
        <v>517</v>
      </c>
      <c r="C14" s="94" t="s">
        <v>94</v>
      </c>
      <c r="D14" s="94" t="s">
        <v>90</v>
      </c>
      <c r="E14" s="94"/>
      <c r="F14" s="93"/>
      <c r="G14" s="92">
        <f>G15</f>
        <v>5690.24</v>
      </c>
      <c r="H14" s="92">
        <f>H15</f>
        <v>5969.0019999999995</v>
      </c>
    </row>
    <row r="15" spans="1:8" ht="45">
      <c r="A15" s="99" t="s">
        <v>134</v>
      </c>
      <c r="B15" s="94" t="s">
        <v>517</v>
      </c>
      <c r="C15" s="94" t="s">
        <v>94</v>
      </c>
      <c r="D15" s="94" t="s">
        <v>90</v>
      </c>
      <c r="E15" s="94" t="s">
        <v>133</v>
      </c>
      <c r="F15" s="93"/>
      <c r="G15" s="92">
        <f>G16+G23</f>
        <v>5690.24</v>
      </c>
      <c r="H15" s="92">
        <f>H16+H23</f>
        <v>5969.0019999999995</v>
      </c>
    </row>
    <row r="16" spans="1:8" ht="15">
      <c r="A16" s="99" t="s">
        <v>132</v>
      </c>
      <c r="B16" s="94" t="s">
        <v>517</v>
      </c>
      <c r="C16" s="94" t="s">
        <v>94</v>
      </c>
      <c r="D16" s="94" t="s">
        <v>90</v>
      </c>
      <c r="E16" s="94" t="s">
        <v>127</v>
      </c>
      <c r="F16" s="93"/>
      <c r="G16" s="92">
        <f>SUM(G17:G22)</f>
        <v>4534.41</v>
      </c>
      <c r="H16" s="92">
        <f>SUM(H17:H22)</f>
        <v>4755.380499999999</v>
      </c>
    </row>
    <row r="17" spans="1:8" ht="15">
      <c r="A17" s="98" t="s">
        <v>124</v>
      </c>
      <c r="B17" s="94" t="s">
        <v>517</v>
      </c>
      <c r="C17" s="94" t="s">
        <v>94</v>
      </c>
      <c r="D17" s="94" t="s">
        <v>90</v>
      </c>
      <c r="E17" s="94" t="s">
        <v>127</v>
      </c>
      <c r="F17" s="97" t="s">
        <v>131</v>
      </c>
      <c r="G17" s="92">
        <f>2642*1.105</f>
        <v>2919.41</v>
      </c>
      <c r="H17" s="136">
        <f>G17*1.05</f>
        <v>3065.3804999999998</v>
      </c>
    </row>
    <row r="18" spans="1:8" ht="30">
      <c r="A18" s="98" t="s">
        <v>122</v>
      </c>
      <c r="B18" s="94" t="s">
        <v>517</v>
      </c>
      <c r="C18" s="94" t="s">
        <v>94</v>
      </c>
      <c r="D18" s="94" t="s">
        <v>90</v>
      </c>
      <c r="E18" s="94" t="s">
        <v>127</v>
      </c>
      <c r="F18" s="97" t="s">
        <v>130</v>
      </c>
      <c r="G18" s="92">
        <v>31</v>
      </c>
      <c r="H18" s="136">
        <v>31</v>
      </c>
    </row>
    <row r="19" spans="1:8" ht="30">
      <c r="A19" s="98" t="s">
        <v>120</v>
      </c>
      <c r="B19" s="94" t="s">
        <v>517</v>
      </c>
      <c r="C19" s="94" t="s">
        <v>94</v>
      </c>
      <c r="D19" s="94" t="s">
        <v>90</v>
      </c>
      <c r="E19" s="94" t="s">
        <v>127</v>
      </c>
      <c r="F19" s="97" t="s">
        <v>119</v>
      </c>
      <c r="G19" s="92">
        <v>393</v>
      </c>
      <c r="H19" s="136">
        <v>413</v>
      </c>
    </row>
    <row r="20" spans="1:8" ht="30">
      <c r="A20" s="96" t="s">
        <v>118</v>
      </c>
      <c r="B20" s="94" t="s">
        <v>517</v>
      </c>
      <c r="C20" s="94" t="s">
        <v>94</v>
      </c>
      <c r="D20" s="94" t="s">
        <v>90</v>
      </c>
      <c r="E20" s="94" t="s">
        <v>127</v>
      </c>
      <c r="F20" s="97" t="s">
        <v>117</v>
      </c>
      <c r="G20" s="136">
        <v>1158</v>
      </c>
      <c r="H20" s="136">
        <v>1211</v>
      </c>
    </row>
    <row r="21" spans="1:8" ht="30">
      <c r="A21" s="98" t="s">
        <v>129</v>
      </c>
      <c r="B21" s="94" t="s">
        <v>517</v>
      </c>
      <c r="C21" s="94" t="s">
        <v>94</v>
      </c>
      <c r="D21" s="94" t="s">
        <v>90</v>
      </c>
      <c r="E21" s="94" t="s">
        <v>127</v>
      </c>
      <c r="F21" s="97" t="s">
        <v>128</v>
      </c>
      <c r="G21" s="136">
        <v>22</v>
      </c>
      <c r="H21" s="136">
        <v>23</v>
      </c>
    </row>
    <row r="22" spans="1:8" ht="30">
      <c r="A22" s="98" t="s">
        <v>116</v>
      </c>
      <c r="B22" s="94" t="s">
        <v>517</v>
      </c>
      <c r="C22" s="94" t="s">
        <v>94</v>
      </c>
      <c r="D22" s="94" t="s">
        <v>90</v>
      </c>
      <c r="E22" s="94" t="s">
        <v>127</v>
      </c>
      <c r="F22" s="97" t="s">
        <v>114</v>
      </c>
      <c r="G22" s="136">
        <v>11</v>
      </c>
      <c r="H22" s="136">
        <v>12</v>
      </c>
    </row>
    <row r="23" spans="1:8" ht="30">
      <c r="A23" s="96" t="s">
        <v>518</v>
      </c>
      <c r="B23" s="94" t="s">
        <v>517</v>
      </c>
      <c r="C23" s="94" t="s">
        <v>94</v>
      </c>
      <c r="D23" s="94" t="s">
        <v>90</v>
      </c>
      <c r="E23" s="94" t="s">
        <v>516</v>
      </c>
      <c r="F23" s="93"/>
      <c r="G23" s="92">
        <f>G24</f>
        <v>1155.83</v>
      </c>
      <c r="H23" s="92">
        <f>H24</f>
        <v>1213.6215</v>
      </c>
    </row>
    <row r="24" spans="1:8" ht="15">
      <c r="A24" s="98" t="s">
        <v>124</v>
      </c>
      <c r="B24" s="94" t="s">
        <v>517</v>
      </c>
      <c r="C24" s="94" t="s">
        <v>94</v>
      </c>
      <c r="D24" s="94" t="s">
        <v>90</v>
      </c>
      <c r="E24" s="94" t="s">
        <v>516</v>
      </c>
      <c r="F24" s="97" t="s">
        <v>131</v>
      </c>
      <c r="G24" s="92">
        <f>1046*1.105</f>
        <v>1155.83</v>
      </c>
      <c r="H24" s="171">
        <f>G24*1.05</f>
        <v>1213.6215</v>
      </c>
    </row>
    <row r="25" spans="1:8" ht="15">
      <c r="A25" s="111" t="s">
        <v>515</v>
      </c>
      <c r="B25" s="110" t="s">
        <v>445</v>
      </c>
      <c r="C25" s="125"/>
      <c r="D25" s="125"/>
      <c r="E25" s="125"/>
      <c r="F25" s="124"/>
      <c r="G25" s="109">
        <f>G26+G58+G62+G87+G94+G107+G101</f>
        <v>88285.415</v>
      </c>
      <c r="H25" s="109">
        <f>H26+H58+H62+H87+H94+H107+H101</f>
        <v>84921.99075</v>
      </c>
    </row>
    <row r="26" spans="1:8" ht="15">
      <c r="A26" s="96" t="s">
        <v>338</v>
      </c>
      <c r="B26" s="94" t="s">
        <v>445</v>
      </c>
      <c r="C26" s="94" t="s">
        <v>94</v>
      </c>
      <c r="D26" s="94"/>
      <c r="E26" s="94"/>
      <c r="F26" s="93"/>
      <c r="G26" s="92">
        <f>G27+G31+G40+G44</f>
        <v>64538.915</v>
      </c>
      <c r="H26" s="92">
        <f>H27+H31+H40+H44</f>
        <v>66584.21075</v>
      </c>
    </row>
    <row r="27" spans="1:8" ht="45">
      <c r="A27" s="96" t="s">
        <v>514</v>
      </c>
      <c r="B27" s="94" t="s">
        <v>445</v>
      </c>
      <c r="C27" s="94" t="s">
        <v>94</v>
      </c>
      <c r="D27" s="94" t="s">
        <v>92</v>
      </c>
      <c r="E27" s="94"/>
      <c r="F27" s="93"/>
      <c r="G27" s="92">
        <f>G29</f>
        <v>1228.76</v>
      </c>
      <c r="H27" s="92">
        <f>H29</f>
        <v>1290.198</v>
      </c>
    </row>
    <row r="28" spans="1:8" ht="45">
      <c r="A28" s="99" t="s">
        <v>134</v>
      </c>
      <c r="B28" s="94" t="s">
        <v>445</v>
      </c>
      <c r="C28" s="94" t="s">
        <v>94</v>
      </c>
      <c r="D28" s="94" t="s">
        <v>92</v>
      </c>
      <c r="E28" s="94" t="s">
        <v>133</v>
      </c>
      <c r="F28" s="93"/>
      <c r="G28" s="92">
        <f>G29</f>
        <v>1228.76</v>
      </c>
      <c r="H28" s="92">
        <f>H29</f>
        <v>1290.198</v>
      </c>
    </row>
    <row r="29" spans="1:8" ht="15">
      <c r="A29" s="99" t="s">
        <v>513</v>
      </c>
      <c r="B29" s="94" t="s">
        <v>445</v>
      </c>
      <c r="C29" s="94" t="s">
        <v>94</v>
      </c>
      <c r="D29" s="94" t="s">
        <v>92</v>
      </c>
      <c r="E29" s="94" t="s">
        <v>512</v>
      </c>
      <c r="F29" s="93"/>
      <c r="G29" s="92">
        <f>G30</f>
        <v>1228.76</v>
      </c>
      <c r="H29" s="92">
        <f>H30</f>
        <v>1290.198</v>
      </c>
    </row>
    <row r="30" spans="1:8" ht="15">
      <c r="A30" s="98" t="s">
        <v>124</v>
      </c>
      <c r="B30" s="94" t="s">
        <v>445</v>
      </c>
      <c r="C30" s="94" t="s">
        <v>94</v>
      </c>
      <c r="D30" s="94" t="s">
        <v>92</v>
      </c>
      <c r="E30" s="94" t="s">
        <v>512</v>
      </c>
      <c r="F30" s="97" t="s">
        <v>131</v>
      </c>
      <c r="G30" s="92">
        <f>1112*1.105</f>
        <v>1228.76</v>
      </c>
      <c r="H30" s="171">
        <f>G30*1.05</f>
        <v>1290.198</v>
      </c>
    </row>
    <row r="31" spans="1:8" ht="60">
      <c r="A31" s="99" t="s">
        <v>87</v>
      </c>
      <c r="B31" s="94" t="s">
        <v>445</v>
      </c>
      <c r="C31" s="94" t="s">
        <v>94</v>
      </c>
      <c r="D31" s="94" t="s">
        <v>88</v>
      </c>
      <c r="E31" s="94"/>
      <c r="F31" s="93"/>
      <c r="G31" s="92">
        <f>G33</f>
        <v>50323.155</v>
      </c>
      <c r="H31" s="92">
        <f>H33</f>
        <v>51832.01275</v>
      </c>
    </row>
    <row r="32" spans="1:8" ht="45">
      <c r="A32" s="99" t="s">
        <v>134</v>
      </c>
      <c r="B32" s="94" t="s">
        <v>445</v>
      </c>
      <c r="C32" s="94" t="s">
        <v>94</v>
      </c>
      <c r="D32" s="94" t="s">
        <v>88</v>
      </c>
      <c r="E32" s="94" t="s">
        <v>133</v>
      </c>
      <c r="F32" s="93"/>
      <c r="G32" s="92">
        <f>G33</f>
        <v>50323.155</v>
      </c>
      <c r="H32" s="92">
        <f>H33</f>
        <v>51832.01275</v>
      </c>
    </row>
    <row r="33" spans="1:8" ht="15">
      <c r="A33" s="99" t="s">
        <v>132</v>
      </c>
      <c r="B33" s="94" t="s">
        <v>445</v>
      </c>
      <c r="C33" s="94" t="s">
        <v>94</v>
      </c>
      <c r="D33" s="94" t="s">
        <v>88</v>
      </c>
      <c r="E33" s="94" t="s">
        <v>127</v>
      </c>
      <c r="F33" s="93"/>
      <c r="G33" s="92">
        <f>SUM(G34:G39)</f>
        <v>50323.155</v>
      </c>
      <c r="H33" s="92">
        <f>SUM(H34:H39)</f>
        <v>51832.01275</v>
      </c>
    </row>
    <row r="34" spans="1:8" ht="15">
      <c r="A34" s="98" t="s">
        <v>124</v>
      </c>
      <c r="B34" s="94" t="s">
        <v>445</v>
      </c>
      <c r="C34" s="94" t="s">
        <v>94</v>
      </c>
      <c r="D34" s="94" t="s">
        <v>88</v>
      </c>
      <c r="E34" s="94" t="s">
        <v>127</v>
      </c>
      <c r="F34" s="97" t="s">
        <v>131</v>
      </c>
      <c r="G34" s="92">
        <f>33011*1.105</f>
        <v>36477.155</v>
      </c>
      <c r="H34" s="171">
        <f>G34*1.05-1000</f>
        <v>37301.01275</v>
      </c>
    </row>
    <row r="35" spans="1:8" ht="30">
      <c r="A35" s="98" t="s">
        <v>122</v>
      </c>
      <c r="B35" s="94" t="s">
        <v>445</v>
      </c>
      <c r="C35" s="94" t="s">
        <v>94</v>
      </c>
      <c r="D35" s="94" t="s">
        <v>88</v>
      </c>
      <c r="E35" s="94" t="s">
        <v>127</v>
      </c>
      <c r="F35" s="97" t="s">
        <v>130</v>
      </c>
      <c r="G35" s="92">
        <v>50</v>
      </c>
      <c r="H35" s="136">
        <v>50</v>
      </c>
    </row>
    <row r="36" spans="1:8" ht="30">
      <c r="A36" s="98" t="s">
        <v>120</v>
      </c>
      <c r="B36" s="94" t="s">
        <v>445</v>
      </c>
      <c r="C36" s="94" t="s">
        <v>94</v>
      </c>
      <c r="D36" s="94" t="s">
        <v>88</v>
      </c>
      <c r="E36" s="94" t="s">
        <v>127</v>
      </c>
      <c r="F36" s="97" t="s">
        <v>119</v>
      </c>
      <c r="G36" s="92">
        <v>2953</v>
      </c>
      <c r="H36" s="136">
        <v>3101</v>
      </c>
    </row>
    <row r="37" spans="1:8" ht="30">
      <c r="A37" s="96" t="s">
        <v>118</v>
      </c>
      <c r="B37" s="94" t="s">
        <v>445</v>
      </c>
      <c r="C37" s="94" t="s">
        <v>94</v>
      </c>
      <c r="D37" s="94" t="s">
        <v>88</v>
      </c>
      <c r="E37" s="94" t="s">
        <v>127</v>
      </c>
      <c r="F37" s="97" t="s">
        <v>117</v>
      </c>
      <c r="G37" s="92">
        <v>10727</v>
      </c>
      <c r="H37" s="136">
        <v>11264</v>
      </c>
    </row>
    <row r="38" spans="1:8" ht="30">
      <c r="A38" s="98" t="s">
        <v>129</v>
      </c>
      <c r="B38" s="94" t="s">
        <v>445</v>
      </c>
      <c r="C38" s="94" t="s">
        <v>94</v>
      </c>
      <c r="D38" s="94" t="s">
        <v>88</v>
      </c>
      <c r="E38" s="94" t="s">
        <v>127</v>
      </c>
      <c r="F38" s="97" t="s">
        <v>128</v>
      </c>
      <c r="G38" s="92">
        <v>106</v>
      </c>
      <c r="H38" s="136">
        <v>106</v>
      </c>
    </row>
    <row r="39" spans="1:8" ht="30">
      <c r="A39" s="98" t="s">
        <v>116</v>
      </c>
      <c r="B39" s="94" t="s">
        <v>445</v>
      </c>
      <c r="C39" s="94" t="s">
        <v>94</v>
      </c>
      <c r="D39" s="94" t="s">
        <v>88</v>
      </c>
      <c r="E39" s="94" t="s">
        <v>127</v>
      </c>
      <c r="F39" s="97" t="s">
        <v>114</v>
      </c>
      <c r="G39" s="92">
        <v>10</v>
      </c>
      <c r="H39" s="136">
        <v>10</v>
      </c>
    </row>
    <row r="40" spans="1:8" ht="15">
      <c r="A40" s="96" t="s">
        <v>81</v>
      </c>
      <c r="B40" s="94" t="s">
        <v>445</v>
      </c>
      <c r="C40" s="94" t="s">
        <v>94</v>
      </c>
      <c r="D40" s="94" t="s">
        <v>82</v>
      </c>
      <c r="E40" s="94"/>
      <c r="F40" s="93"/>
      <c r="G40" s="92">
        <f>G41</f>
        <v>3500</v>
      </c>
      <c r="H40" s="92">
        <f>H41</f>
        <v>3500</v>
      </c>
    </row>
    <row r="41" spans="1:8" ht="15">
      <c r="A41" s="96" t="s">
        <v>81</v>
      </c>
      <c r="B41" s="94" t="s">
        <v>445</v>
      </c>
      <c r="C41" s="94" t="s">
        <v>94</v>
      </c>
      <c r="D41" s="94" t="s">
        <v>82</v>
      </c>
      <c r="E41" s="94" t="s">
        <v>505</v>
      </c>
      <c r="F41" s="93"/>
      <c r="G41" s="92">
        <f>G42</f>
        <v>3500</v>
      </c>
      <c r="H41" s="92">
        <f>H42</f>
        <v>3500</v>
      </c>
    </row>
    <row r="42" spans="1:8" ht="15">
      <c r="A42" s="96" t="s">
        <v>294</v>
      </c>
      <c r="B42" s="94" t="s">
        <v>445</v>
      </c>
      <c r="C42" s="94" t="s">
        <v>94</v>
      </c>
      <c r="D42" s="94" t="s">
        <v>82</v>
      </c>
      <c r="E42" s="94" t="s">
        <v>293</v>
      </c>
      <c r="F42" s="93"/>
      <c r="G42" s="92">
        <f>G43</f>
        <v>3500</v>
      </c>
      <c r="H42" s="92">
        <f>H43</f>
        <v>3500</v>
      </c>
    </row>
    <row r="43" spans="1:8" ht="15">
      <c r="A43" s="96" t="s">
        <v>312</v>
      </c>
      <c r="B43" s="94" t="s">
        <v>445</v>
      </c>
      <c r="C43" s="94" t="s">
        <v>94</v>
      </c>
      <c r="D43" s="94" t="s">
        <v>82</v>
      </c>
      <c r="E43" s="94" t="s">
        <v>293</v>
      </c>
      <c r="F43" s="93" t="s">
        <v>311</v>
      </c>
      <c r="G43" s="92">
        <v>3500</v>
      </c>
      <c r="H43" s="171">
        <v>3500</v>
      </c>
    </row>
    <row r="44" spans="1:8" ht="15">
      <c r="A44" s="96" t="s">
        <v>79</v>
      </c>
      <c r="B44" s="94" t="s">
        <v>445</v>
      </c>
      <c r="C44" s="94" t="s">
        <v>94</v>
      </c>
      <c r="D44" s="94" t="s">
        <v>80</v>
      </c>
      <c r="E44" s="94"/>
      <c r="F44" s="93"/>
      <c r="G44" s="92">
        <f>G49+G54+G45</f>
        <v>9487</v>
      </c>
      <c r="H44" s="92">
        <f>H49+H54+H45</f>
        <v>9962</v>
      </c>
    </row>
    <row r="45" spans="1:8" ht="30">
      <c r="A45" s="96" t="s">
        <v>504</v>
      </c>
      <c r="B45" s="94" t="s">
        <v>445</v>
      </c>
      <c r="C45" s="94" t="s">
        <v>94</v>
      </c>
      <c r="D45" s="94" t="s">
        <v>80</v>
      </c>
      <c r="E45" s="94" t="s">
        <v>503</v>
      </c>
      <c r="F45" s="93"/>
      <c r="G45" s="92">
        <f>G46</f>
        <v>8470</v>
      </c>
      <c r="H45" s="92">
        <f>H46</f>
        <v>8945</v>
      </c>
    </row>
    <row r="46" spans="1:8" ht="30">
      <c r="A46" s="96" t="s">
        <v>125</v>
      </c>
      <c r="B46" s="94" t="s">
        <v>445</v>
      </c>
      <c r="C46" s="94" t="s">
        <v>94</v>
      </c>
      <c r="D46" s="94" t="s">
        <v>80</v>
      </c>
      <c r="E46" s="94" t="s">
        <v>502</v>
      </c>
      <c r="F46" s="93"/>
      <c r="G46" s="92">
        <f>G47</f>
        <v>8470</v>
      </c>
      <c r="H46" s="92">
        <f>H47</f>
        <v>8945</v>
      </c>
    </row>
    <row r="47" spans="1:8" ht="60">
      <c r="A47" s="98" t="s">
        <v>161</v>
      </c>
      <c r="B47" s="94" t="s">
        <v>445</v>
      </c>
      <c r="C47" s="94" t="s">
        <v>94</v>
      </c>
      <c r="D47" s="94" t="s">
        <v>80</v>
      </c>
      <c r="E47" s="94" t="s">
        <v>502</v>
      </c>
      <c r="F47" s="93" t="s">
        <v>159</v>
      </c>
      <c r="G47" s="92">
        <f>7884+586</f>
        <v>8470</v>
      </c>
      <c r="H47" s="136">
        <f>8081+864</f>
        <v>8945</v>
      </c>
    </row>
    <row r="48" spans="1:8" ht="105">
      <c r="A48" s="99" t="s">
        <v>213</v>
      </c>
      <c r="B48" s="94" t="s">
        <v>445</v>
      </c>
      <c r="C48" s="94" t="s">
        <v>94</v>
      </c>
      <c r="D48" s="94" t="s">
        <v>80</v>
      </c>
      <c r="E48" s="94" t="s">
        <v>195</v>
      </c>
      <c r="F48" s="93"/>
      <c r="G48" s="92">
        <f>G49</f>
        <v>491.7</v>
      </c>
      <c r="H48" s="92">
        <f>H49</f>
        <v>491.7</v>
      </c>
    </row>
    <row r="49" spans="1:8" ht="30">
      <c r="A49" s="99" t="s">
        <v>496</v>
      </c>
      <c r="B49" s="94" t="s">
        <v>445</v>
      </c>
      <c r="C49" s="94" t="s">
        <v>94</v>
      </c>
      <c r="D49" s="94" t="s">
        <v>80</v>
      </c>
      <c r="E49" s="94" t="s">
        <v>495</v>
      </c>
      <c r="F49" s="93"/>
      <c r="G49" s="92">
        <f>G50+G53+G51+G52</f>
        <v>491.7</v>
      </c>
      <c r="H49" s="92">
        <f>H50+H53+H51+H52</f>
        <v>491.7</v>
      </c>
    </row>
    <row r="50" spans="1:8" ht="15">
      <c r="A50" s="99" t="s">
        <v>124</v>
      </c>
      <c r="B50" s="94" t="s">
        <v>445</v>
      </c>
      <c r="C50" s="94" t="s">
        <v>94</v>
      </c>
      <c r="D50" s="94" t="s">
        <v>80</v>
      </c>
      <c r="E50" s="94" t="s">
        <v>495</v>
      </c>
      <c r="F50" s="93" t="s">
        <v>131</v>
      </c>
      <c r="G50" s="92">
        <v>410.7</v>
      </c>
      <c r="H50" s="181">
        <v>410.7</v>
      </c>
    </row>
    <row r="51" spans="1:8" ht="30">
      <c r="A51" s="98" t="s">
        <v>122</v>
      </c>
      <c r="B51" s="94" t="s">
        <v>445</v>
      </c>
      <c r="C51" s="94" t="s">
        <v>94</v>
      </c>
      <c r="D51" s="94" t="s">
        <v>80</v>
      </c>
      <c r="E51" s="94" t="s">
        <v>495</v>
      </c>
      <c r="F51" s="93" t="s">
        <v>130</v>
      </c>
      <c r="G51" s="92">
        <v>0.5</v>
      </c>
      <c r="H51" s="136">
        <v>0.5</v>
      </c>
    </row>
    <row r="52" spans="1:8" ht="30">
      <c r="A52" s="98" t="s">
        <v>120</v>
      </c>
      <c r="B52" s="94" t="s">
        <v>445</v>
      </c>
      <c r="C52" s="94" t="s">
        <v>94</v>
      </c>
      <c r="D52" s="94" t="s">
        <v>80</v>
      </c>
      <c r="E52" s="94" t="s">
        <v>495</v>
      </c>
      <c r="F52" s="93" t="s">
        <v>119</v>
      </c>
      <c r="G52" s="92">
        <v>24.6</v>
      </c>
      <c r="H52" s="172">
        <v>24.6</v>
      </c>
    </row>
    <row r="53" spans="1:8" ht="30">
      <c r="A53" s="96" t="s">
        <v>118</v>
      </c>
      <c r="B53" s="94" t="s">
        <v>445</v>
      </c>
      <c r="C53" s="94" t="s">
        <v>94</v>
      </c>
      <c r="D53" s="94" t="s">
        <v>80</v>
      </c>
      <c r="E53" s="94" t="s">
        <v>495</v>
      </c>
      <c r="F53" s="93" t="s">
        <v>117</v>
      </c>
      <c r="G53" s="92">
        <v>55.9</v>
      </c>
      <c r="H53" s="180">
        <v>55.9</v>
      </c>
    </row>
    <row r="54" spans="1:8" ht="30">
      <c r="A54" s="147" t="s">
        <v>494</v>
      </c>
      <c r="B54" s="94" t="s">
        <v>445</v>
      </c>
      <c r="C54" s="94" t="s">
        <v>94</v>
      </c>
      <c r="D54" s="94" t="s">
        <v>80</v>
      </c>
      <c r="E54" s="94" t="s">
        <v>493</v>
      </c>
      <c r="F54" s="93"/>
      <c r="G54" s="92">
        <f>G55+G57+G56</f>
        <v>525.3000000000001</v>
      </c>
      <c r="H54" s="92">
        <f>H55+H57+H56</f>
        <v>525.3000000000001</v>
      </c>
    </row>
    <row r="55" spans="1:8" ht="15">
      <c r="A55" s="99" t="s">
        <v>124</v>
      </c>
      <c r="B55" s="94" t="s">
        <v>445</v>
      </c>
      <c r="C55" s="94" t="s">
        <v>94</v>
      </c>
      <c r="D55" s="94" t="s">
        <v>80</v>
      </c>
      <c r="E55" s="94" t="s">
        <v>493</v>
      </c>
      <c r="F55" s="93" t="s">
        <v>131</v>
      </c>
      <c r="G55" s="92">
        <v>448</v>
      </c>
      <c r="H55" s="136">
        <v>448</v>
      </c>
    </row>
    <row r="56" spans="1:8" ht="30">
      <c r="A56" s="98" t="s">
        <v>120</v>
      </c>
      <c r="B56" s="94" t="s">
        <v>445</v>
      </c>
      <c r="C56" s="94" t="s">
        <v>94</v>
      </c>
      <c r="D56" s="94" t="s">
        <v>80</v>
      </c>
      <c r="E56" s="94" t="s">
        <v>493</v>
      </c>
      <c r="F56" s="93" t="s">
        <v>119</v>
      </c>
      <c r="G56" s="92">
        <v>3.2</v>
      </c>
      <c r="H56" s="172">
        <v>3.2</v>
      </c>
    </row>
    <row r="57" spans="1:8" ht="30">
      <c r="A57" s="96" t="s">
        <v>118</v>
      </c>
      <c r="B57" s="94" t="s">
        <v>445</v>
      </c>
      <c r="C57" s="94" t="s">
        <v>94</v>
      </c>
      <c r="D57" s="94" t="s">
        <v>80</v>
      </c>
      <c r="E57" s="94" t="s">
        <v>493</v>
      </c>
      <c r="F57" s="93" t="s">
        <v>117</v>
      </c>
      <c r="G57" s="92">
        <v>74.1</v>
      </c>
      <c r="H57" s="172">
        <v>74.1</v>
      </c>
    </row>
    <row r="58" spans="1:8" ht="15">
      <c r="A58" s="116" t="s">
        <v>75</v>
      </c>
      <c r="B58" s="94" t="s">
        <v>445</v>
      </c>
      <c r="C58" s="94" t="s">
        <v>78</v>
      </c>
      <c r="D58" s="94" t="s">
        <v>76</v>
      </c>
      <c r="E58" s="94"/>
      <c r="F58" s="93"/>
      <c r="G58" s="92">
        <f>G59</f>
        <v>50</v>
      </c>
      <c r="H58" s="92">
        <f>H59</f>
        <v>0</v>
      </c>
    </row>
    <row r="59" spans="1:8" ht="30">
      <c r="A59" s="96" t="s">
        <v>111</v>
      </c>
      <c r="B59" s="94" t="s">
        <v>445</v>
      </c>
      <c r="C59" s="94" t="s">
        <v>78</v>
      </c>
      <c r="D59" s="94" t="s">
        <v>76</v>
      </c>
      <c r="E59" s="94" t="s">
        <v>110</v>
      </c>
      <c r="F59" s="93"/>
      <c r="G59" s="92">
        <f>G60</f>
        <v>50</v>
      </c>
      <c r="H59" s="92">
        <f>H60</f>
        <v>0</v>
      </c>
    </row>
    <row r="60" spans="1:8" ht="45">
      <c r="A60" s="116" t="s">
        <v>488</v>
      </c>
      <c r="B60" s="94" t="s">
        <v>445</v>
      </c>
      <c r="C60" s="94" t="s">
        <v>78</v>
      </c>
      <c r="D60" s="94" t="s">
        <v>76</v>
      </c>
      <c r="E60" s="100" t="s">
        <v>487</v>
      </c>
      <c r="F60" s="93"/>
      <c r="G60" s="92">
        <f>G61</f>
        <v>50</v>
      </c>
      <c r="H60" s="92">
        <f>H61</f>
        <v>0</v>
      </c>
    </row>
    <row r="61" spans="1:8" ht="30">
      <c r="A61" s="96" t="s">
        <v>118</v>
      </c>
      <c r="B61" s="94" t="s">
        <v>445</v>
      </c>
      <c r="C61" s="94" t="s">
        <v>78</v>
      </c>
      <c r="D61" s="94" t="s">
        <v>76</v>
      </c>
      <c r="E61" s="100" t="s">
        <v>487</v>
      </c>
      <c r="F61" s="93" t="s">
        <v>117</v>
      </c>
      <c r="G61" s="92">
        <v>50</v>
      </c>
      <c r="H61" s="169">
        <v>0</v>
      </c>
    </row>
    <row r="62" spans="1:8" ht="15">
      <c r="A62" s="96" t="s">
        <v>175</v>
      </c>
      <c r="B62" s="94" t="s">
        <v>445</v>
      </c>
      <c r="C62" s="94" t="s">
        <v>72</v>
      </c>
      <c r="D62" s="94"/>
      <c r="E62" s="94"/>
      <c r="F62" s="93"/>
      <c r="G62" s="92">
        <f>G67+G63</f>
        <v>16541.6</v>
      </c>
      <c r="H62" s="92">
        <f>H67+H63</f>
        <v>14091.880000000001</v>
      </c>
    </row>
    <row r="63" spans="1:8" ht="15">
      <c r="A63" s="116" t="s">
        <v>405</v>
      </c>
      <c r="B63" s="106" t="s">
        <v>445</v>
      </c>
      <c r="C63" s="106" t="s">
        <v>72</v>
      </c>
      <c r="D63" s="106" t="s">
        <v>64</v>
      </c>
      <c r="E63" s="94"/>
      <c r="F63" s="93"/>
      <c r="G63" s="92">
        <f>G64</f>
        <v>3000</v>
      </c>
      <c r="H63" s="92">
        <f>H64</f>
        <v>0</v>
      </c>
    </row>
    <row r="64" spans="1:8" ht="30">
      <c r="A64" s="96" t="s">
        <v>111</v>
      </c>
      <c r="B64" s="94" t="s">
        <v>445</v>
      </c>
      <c r="C64" s="94" t="s">
        <v>72</v>
      </c>
      <c r="D64" s="94" t="s">
        <v>64</v>
      </c>
      <c r="E64" s="94" t="s">
        <v>110</v>
      </c>
      <c r="F64" s="93"/>
      <c r="G64" s="92">
        <f>G65</f>
        <v>3000</v>
      </c>
      <c r="H64" s="92">
        <f>H65</f>
        <v>0</v>
      </c>
    </row>
    <row r="65" spans="1:8" ht="30">
      <c r="A65" s="145" t="s">
        <v>482</v>
      </c>
      <c r="B65" s="94" t="s">
        <v>445</v>
      </c>
      <c r="C65" s="106" t="s">
        <v>72</v>
      </c>
      <c r="D65" s="106" t="s">
        <v>64</v>
      </c>
      <c r="E65" s="94" t="s">
        <v>401</v>
      </c>
      <c r="F65" s="93"/>
      <c r="G65" s="92">
        <f>G66</f>
        <v>3000</v>
      </c>
      <c r="H65" s="92">
        <f>H66</f>
        <v>0</v>
      </c>
    </row>
    <row r="66" spans="1:8" ht="45">
      <c r="A66" s="96" t="s">
        <v>452</v>
      </c>
      <c r="B66" s="94" t="s">
        <v>445</v>
      </c>
      <c r="C66" s="106" t="s">
        <v>72</v>
      </c>
      <c r="D66" s="106" t="s">
        <v>64</v>
      </c>
      <c r="E66" s="94" t="s">
        <v>401</v>
      </c>
      <c r="F66" s="93" t="s">
        <v>451</v>
      </c>
      <c r="G66" s="92">
        <v>3000</v>
      </c>
      <c r="H66" s="89"/>
    </row>
    <row r="67" spans="1:8" ht="30">
      <c r="A67" s="96" t="s">
        <v>61</v>
      </c>
      <c r="B67" s="94" t="s">
        <v>445</v>
      </c>
      <c r="C67" s="94" t="s">
        <v>72</v>
      </c>
      <c r="D67" s="94" t="s">
        <v>62</v>
      </c>
      <c r="E67" s="94"/>
      <c r="F67" s="93"/>
      <c r="G67" s="92">
        <f>G68+G78+G80+G70</f>
        <v>13541.6</v>
      </c>
      <c r="H67" s="92">
        <f>H68+H78+H80+H70</f>
        <v>14091.880000000001</v>
      </c>
    </row>
    <row r="68" spans="1:8" ht="30">
      <c r="A68" s="96" t="s">
        <v>480</v>
      </c>
      <c r="B68" s="94" t="s">
        <v>445</v>
      </c>
      <c r="C68" s="94" t="s">
        <v>72</v>
      </c>
      <c r="D68" s="94" t="s">
        <v>62</v>
      </c>
      <c r="E68" s="94" t="s">
        <v>479</v>
      </c>
      <c r="F68" s="93"/>
      <c r="G68" s="92">
        <f>G69</f>
        <v>1533</v>
      </c>
      <c r="H68" s="92">
        <f>H69</f>
        <v>1613</v>
      </c>
    </row>
    <row r="69" spans="1:8" ht="30">
      <c r="A69" s="96" t="s">
        <v>118</v>
      </c>
      <c r="B69" s="94" t="s">
        <v>445</v>
      </c>
      <c r="C69" s="94" t="s">
        <v>72</v>
      </c>
      <c r="D69" s="94" t="s">
        <v>62</v>
      </c>
      <c r="E69" s="94" t="s">
        <v>479</v>
      </c>
      <c r="F69" s="93" t="s">
        <v>117</v>
      </c>
      <c r="G69" s="92">
        <v>1533</v>
      </c>
      <c r="H69" s="136">
        <v>1613</v>
      </c>
    </row>
    <row r="70" spans="1:8" ht="30">
      <c r="A70" s="96" t="s">
        <v>125</v>
      </c>
      <c r="B70" s="94" t="s">
        <v>445</v>
      </c>
      <c r="C70" s="94" t="s">
        <v>72</v>
      </c>
      <c r="D70" s="94" t="s">
        <v>62</v>
      </c>
      <c r="E70" s="94" t="s">
        <v>478</v>
      </c>
      <c r="F70" s="93"/>
      <c r="G70" s="92">
        <f>G71+G72+G73+G74+G75+G76</f>
        <v>7048.6</v>
      </c>
      <c r="H70" s="92">
        <f>H71+H72+H73+H74+H75+H76</f>
        <v>7402.880000000001</v>
      </c>
    </row>
    <row r="71" spans="1:8" ht="15">
      <c r="A71" s="98" t="s">
        <v>124</v>
      </c>
      <c r="B71" s="94" t="s">
        <v>445</v>
      </c>
      <c r="C71" s="94" t="s">
        <v>72</v>
      </c>
      <c r="D71" s="94" t="s">
        <v>62</v>
      </c>
      <c r="E71" s="94" t="s">
        <v>478</v>
      </c>
      <c r="F71" s="93" t="s">
        <v>123</v>
      </c>
      <c r="G71" s="92">
        <f>5760*1.09125</f>
        <v>6285.6</v>
      </c>
      <c r="H71" s="171">
        <f>G71*1.05</f>
        <v>6599.880000000001</v>
      </c>
    </row>
    <row r="72" spans="1:8" ht="30">
      <c r="A72" s="98" t="s">
        <v>122</v>
      </c>
      <c r="B72" s="94" t="s">
        <v>445</v>
      </c>
      <c r="C72" s="94" t="s">
        <v>72</v>
      </c>
      <c r="D72" s="94" t="s">
        <v>62</v>
      </c>
      <c r="E72" s="94" t="s">
        <v>478</v>
      </c>
      <c r="F72" s="93" t="s">
        <v>121</v>
      </c>
      <c r="G72" s="92">
        <v>3</v>
      </c>
      <c r="H72" s="136">
        <v>3</v>
      </c>
    </row>
    <row r="73" spans="1:8" ht="30">
      <c r="A73" s="98" t="s">
        <v>120</v>
      </c>
      <c r="B73" s="94" t="s">
        <v>445</v>
      </c>
      <c r="C73" s="94" t="s">
        <v>72</v>
      </c>
      <c r="D73" s="94" t="s">
        <v>62</v>
      </c>
      <c r="E73" s="94" t="s">
        <v>478</v>
      </c>
      <c r="F73" s="93" t="s">
        <v>119</v>
      </c>
      <c r="G73" s="92">
        <v>358</v>
      </c>
      <c r="H73" s="136">
        <v>376</v>
      </c>
    </row>
    <row r="74" spans="1:8" ht="30">
      <c r="A74" s="96" t="s">
        <v>118</v>
      </c>
      <c r="B74" s="94" t="s">
        <v>445</v>
      </c>
      <c r="C74" s="94" t="s">
        <v>72</v>
      </c>
      <c r="D74" s="94" t="s">
        <v>62</v>
      </c>
      <c r="E74" s="94" t="s">
        <v>478</v>
      </c>
      <c r="F74" s="93" t="s">
        <v>117</v>
      </c>
      <c r="G74" s="92">
        <v>326</v>
      </c>
      <c r="H74" s="136">
        <v>348</v>
      </c>
    </row>
    <row r="75" spans="1:8" ht="30">
      <c r="A75" s="98" t="s">
        <v>129</v>
      </c>
      <c r="B75" s="94" t="s">
        <v>445</v>
      </c>
      <c r="C75" s="94" t="s">
        <v>72</v>
      </c>
      <c r="D75" s="94" t="s">
        <v>62</v>
      </c>
      <c r="E75" s="94" t="s">
        <v>478</v>
      </c>
      <c r="F75" s="93" t="s">
        <v>128</v>
      </c>
      <c r="G75" s="92">
        <v>75</v>
      </c>
      <c r="H75" s="136">
        <v>75</v>
      </c>
    </row>
    <row r="76" spans="1:8" ht="30">
      <c r="A76" s="98" t="s">
        <v>116</v>
      </c>
      <c r="B76" s="94" t="s">
        <v>445</v>
      </c>
      <c r="C76" s="94" t="s">
        <v>72</v>
      </c>
      <c r="D76" s="94" t="s">
        <v>62</v>
      </c>
      <c r="E76" s="94" t="s">
        <v>478</v>
      </c>
      <c r="F76" s="93" t="s">
        <v>114</v>
      </c>
      <c r="G76" s="92">
        <v>1</v>
      </c>
      <c r="H76" s="136">
        <v>1</v>
      </c>
    </row>
    <row r="77" spans="1:8" ht="30">
      <c r="A77" s="96" t="s">
        <v>477</v>
      </c>
      <c r="B77" s="94" t="s">
        <v>445</v>
      </c>
      <c r="C77" s="94" t="s">
        <v>72</v>
      </c>
      <c r="D77" s="94" t="s">
        <v>62</v>
      </c>
      <c r="E77" s="94" t="s">
        <v>476</v>
      </c>
      <c r="F77" s="93"/>
      <c r="G77" s="92">
        <f>G78</f>
        <v>2310</v>
      </c>
      <c r="H77" s="92">
        <f>H78</f>
        <v>2426</v>
      </c>
    </row>
    <row r="78" spans="1:8" ht="30">
      <c r="A78" s="96" t="s">
        <v>475</v>
      </c>
      <c r="B78" s="94" t="s">
        <v>445</v>
      </c>
      <c r="C78" s="94" t="s">
        <v>72</v>
      </c>
      <c r="D78" s="94" t="s">
        <v>62</v>
      </c>
      <c r="E78" s="94" t="s">
        <v>474</v>
      </c>
      <c r="F78" s="93"/>
      <c r="G78" s="92">
        <f>G79</f>
        <v>2310</v>
      </c>
      <c r="H78" s="92">
        <f>H79</f>
        <v>2426</v>
      </c>
    </row>
    <row r="79" spans="1:8" ht="30">
      <c r="A79" s="96" t="s">
        <v>118</v>
      </c>
      <c r="B79" s="94" t="s">
        <v>445</v>
      </c>
      <c r="C79" s="94" t="s">
        <v>72</v>
      </c>
      <c r="D79" s="94" t="s">
        <v>62</v>
      </c>
      <c r="E79" s="94" t="s">
        <v>474</v>
      </c>
      <c r="F79" s="93" t="s">
        <v>117</v>
      </c>
      <c r="G79" s="92">
        <v>2310</v>
      </c>
      <c r="H79" s="136">
        <v>2426</v>
      </c>
    </row>
    <row r="80" spans="1:8" ht="30">
      <c r="A80" s="96" t="s">
        <v>111</v>
      </c>
      <c r="B80" s="94" t="s">
        <v>445</v>
      </c>
      <c r="C80" s="94" t="s">
        <v>72</v>
      </c>
      <c r="D80" s="94" t="s">
        <v>62</v>
      </c>
      <c r="E80" s="94" t="s">
        <v>110</v>
      </c>
      <c r="F80" s="93"/>
      <c r="G80" s="92">
        <f>G81+G85</f>
        <v>2650</v>
      </c>
      <c r="H80" s="92">
        <f>H81+H85</f>
        <v>2650</v>
      </c>
    </row>
    <row r="81" spans="1:8" ht="45">
      <c r="A81" s="96" t="s">
        <v>469</v>
      </c>
      <c r="B81" s="94" t="s">
        <v>445</v>
      </c>
      <c r="C81" s="94" t="s">
        <v>72</v>
      </c>
      <c r="D81" s="94" t="s">
        <v>62</v>
      </c>
      <c r="E81" s="100" t="s">
        <v>468</v>
      </c>
      <c r="F81" s="93"/>
      <c r="G81" s="92">
        <f>G82+G84+G83</f>
        <v>2500</v>
      </c>
      <c r="H81" s="92">
        <f>H82+H84+H83</f>
        <v>2500</v>
      </c>
    </row>
    <row r="82" spans="1:8" ht="30">
      <c r="A82" s="96" t="s">
        <v>118</v>
      </c>
      <c r="B82" s="106" t="s">
        <v>445</v>
      </c>
      <c r="C82" s="94" t="s">
        <v>72</v>
      </c>
      <c r="D82" s="94" t="s">
        <v>62</v>
      </c>
      <c r="E82" s="100" t="s">
        <v>468</v>
      </c>
      <c r="F82" s="93" t="s">
        <v>117</v>
      </c>
      <c r="G82" s="92">
        <v>400</v>
      </c>
      <c r="H82" s="136">
        <v>400</v>
      </c>
    </row>
    <row r="83" spans="1:8" ht="45">
      <c r="A83" s="134" t="s">
        <v>412</v>
      </c>
      <c r="B83" s="106" t="s">
        <v>445</v>
      </c>
      <c r="C83" s="94" t="s">
        <v>72</v>
      </c>
      <c r="D83" s="94" t="s">
        <v>62</v>
      </c>
      <c r="E83" s="100" t="s">
        <v>468</v>
      </c>
      <c r="F83" s="93" t="s">
        <v>349</v>
      </c>
      <c r="G83" s="92">
        <v>2100</v>
      </c>
      <c r="H83" s="136">
        <v>2100</v>
      </c>
    </row>
    <row r="84" spans="1:8" ht="15">
      <c r="A84" s="140" t="s">
        <v>508</v>
      </c>
      <c r="B84" s="106" t="s">
        <v>445</v>
      </c>
      <c r="C84" s="94" t="s">
        <v>72</v>
      </c>
      <c r="D84" s="94" t="s">
        <v>62</v>
      </c>
      <c r="E84" s="100" t="s">
        <v>468</v>
      </c>
      <c r="F84" s="93" t="s">
        <v>506</v>
      </c>
      <c r="G84" s="92">
        <f>1000-1000</f>
        <v>0</v>
      </c>
      <c r="H84" s="92">
        <f>1000-1000</f>
        <v>0</v>
      </c>
    </row>
    <row r="85" spans="1:8" ht="45">
      <c r="A85" s="145" t="s">
        <v>484</v>
      </c>
      <c r="B85" s="106" t="s">
        <v>445</v>
      </c>
      <c r="C85" s="94" t="s">
        <v>72</v>
      </c>
      <c r="D85" s="94" t="s">
        <v>62</v>
      </c>
      <c r="E85" s="100" t="s">
        <v>483</v>
      </c>
      <c r="F85" s="93"/>
      <c r="G85" s="92">
        <f>G86</f>
        <v>150</v>
      </c>
      <c r="H85" s="92">
        <f>H86</f>
        <v>150</v>
      </c>
    </row>
    <row r="86" spans="1:8" ht="45">
      <c r="A86" s="134" t="s">
        <v>412</v>
      </c>
      <c r="B86" s="106" t="s">
        <v>445</v>
      </c>
      <c r="C86" s="94" t="s">
        <v>72</v>
      </c>
      <c r="D86" s="94" t="s">
        <v>62</v>
      </c>
      <c r="E86" s="100" t="s">
        <v>483</v>
      </c>
      <c r="F86" s="93" t="s">
        <v>349</v>
      </c>
      <c r="G86" s="92">
        <v>150</v>
      </c>
      <c r="H86" s="136">
        <v>150</v>
      </c>
    </row>
    <row r="87" spans="1:8" ht="15">
      <c r="A87" s="96" t="s">
        <v>172</v>
      </c>
      <c r="B87" s="94" t="s">
        <v>445</v>
      </c>
      <c r="C87" s="94" t="s">
        <v>46</v>
      </c>
      <c r="D87" s="94"/>
      <c r="E87" s="94"/>
      <c r="F87" s="93"/>
      <c r="G87" s="92">
        <f>G88</f>
        <v>1542.8999999999999</v>
      </c>
      <c r="H87" s="92">
        <f>H88</f>
        <v>1542.8999999999999</v>
      </c>
    </row>
    <row r="88" spans="1:8" ht="15">
      <c r="A88" s="96" t="s">
        <v>41</v>
      </c>
      <c r="B88" s="94" t="s">
        <v>445</v>
      </c>
      <c r="C88" s="94" t="s">
        <v>46</v>
      </c>
      <c r="D88" s="94" t="s">
        <v>38</v>
      </c>
      <c r="E88" s="94"/>
      <c r="F88" s="93"/>
      <c r="G88" s="92">
        <f>G89</f>
        <v>1542.8999999999999</v>
      </c>
      <c r="H88" s="92">
        <f>H89</f>
        <v>1542.8999999999999</v>
      </c>
    </row>
    <row r="89" spans="1:8" ht="30">
      <c r="A89" s="143" t="s">
        <v>461</v>
      </c>
      <c r="B89" s="94" t="s">
        <v>445</v>
      </c>
      <c r="C89" s="94" t="s">
        <v>46</v>
      </c>
      <c r="D89" s="94" t="s">
        <v>38</v>
      </c>
      <c r="E89" s="94" t="s">
        <v>460</v>
      </c>
      <c r="F89" s="93"/>
      <c r="G89" s="92">
        <f>G90+G92+G93+G91</f>
        <v>1542.8999999999999</v>
      </c>
      <c r="H89" s="92">
        <f>H90+H92+H93+H91</f>
        <v>1542.8999999999999</v>
      </c>
    </row>
    <row r="90" spans="1:8" ht="15">
      <c r="A90" s="99" t="s">
        <v>124</v>
      </c>
      <c r="B90" s="94" t="s">
        <v>445</v>
      </c>
      <c r="C90" s="94" t="s">
        <v>46</v>
      </c>
      <c r="D90" s="94" t="s">
        <v>38</v>
      </c>
      <c r="E90" s="94" t="s">
        <v>460</v>
      </c>
      <c r="F90" s="93" t="s">
        <v>131</v>
      </c>
      <c r="G90" s="92">
        <v>896</v>
      </c>
      <c r="H90" s="136">
        <v>896</v>
      </c>
    </row>
    <row r="91" spans="1:8" ht="30">
      <c r="A91" s="98" t="s">
        <v>122</v>
      </c>
      <c r="B91" s="94" t="s">
        <v>445</v>
      </c>
      <c r="C91" s="94" t="s">
        <v>46</v>
      </c>
      <c r="D91" s="94" t="s">
        <v>38</v>
      </c>
      <c r="E91" s="94" t="s">
        <v>460</v>
      </c>
      <c r="F91" s="93" t="s">
        <v>130</v>
      </c>
      <c r="G91" s="92">
        <v>4.8</v>
      </c>
      <c r="H91" s="172">
        <v>4.8</v>
      </c>
    </row>
    <row r="92" spans="1:8" ht="30">
      <c r="A92" s="98" t="s">
        <v>120</v>
      </c>
      <c r="B92" s="94" t="s">
        <v>445</v>
      </c>
      <c r="C92" s="94" t="s">
        <v>46</v>
      </c>
      <c r="D92" s="94" t="s">
        <v>38</v>
      </c>
      <c r="E92" s="94" t="s">
        <v>460</v>
      </c>
      <c r="F92" s="93" t="s">
        <v>119</v>
      </c>
      <c r="G92" s="92">
        <v>332.5</v>
      </c>
      <c r="H92" s="172">
        <v>332.5</v>
      </c>
    </row>
    <row r="93" spans="1:8" ht="30">
      <c r="A93" s="96" t="s">
        <v>118</v>
      </c>
      <c r="B93" s="94" t="s">
        <v>445</v>
      </c>
      <c r="C93" s="94" t="s">
        <v>46</v>
      </c>
      <c r="D93" s="94" t="s">
        <v>38</v>
      </c>
      <c r="E93" s="94" t="s">
        <v>460</v>
      </c>
      <c r="F93" s="93" t="s">
        <v>117</v>
      </c>
      <c r="G93" s="92">
        <v>309.6</v>
      </c>
      <c r="H93" s="136">
        <v>309.6</v>
      </c>
    </row>
    <row r="94" spans="1:8" ht="15">
      <c r="A94" s="96" t="s">
        <v>208</v>
      </c>
      <c r="B94" s="94" t="s">
        <v>445</v>
      </c>
      <c r="C94" s="94" t="s">
        <v>26</v>
      </c>
      <c r="D94" s="94"/>
      <c r="E94" s="94"/>
      <c r="F94" s="93"/>
      <c r="G94" s="92">
        <f>G95+G99</f>
        <v>2032</v>
      </c>
      <c r="H94" s="92">
        <f>H95+H99</f>
        <v>2094</v>
      </c>
    </row>
    <row r="95" spans="1:8" ht="15">
      <c r="A95" s="96" t="s">
        <v>23</v>
      </c>
      <c r="B95" s="94" t="s">
        <v>445</v>
      </c>
      <c r="C95" s="94" t="s">
        <v>26</v>
      </c>
      <c r="D95" s="94" t="s">
        <v>24</v>
      </c>
      <c r="E95" s="94"/>
      <c r="F95" s="93"/>
      <c r="G95" s="92">
        <f>G96</f>
        <v>1492</v>
      </c>
      <c r="H95" s="92">
        <f>H96</f>
        <v>1554</v>
      </c>
    </row>
    <row r="96" spans="1:8" ht="15">
      <c r="A96" s="96" t="s">
        <v>457</v>
      </c>
      <c r="B96" s="94" t="s">
        <v>445</v>
      </c>
      <c r="C96" s="94" t="s">
        <v>26</v>
      </c>
      <c r="D96" s="94" t="s">
        <v>24</v>
      </c>
      <c r="E96" s="94" t="s">
        <v>456</v>
      </c>
      <c r="F96" s="93"/>
      <c r="G96" s="92">
        <f>G97</f>
        <v>1492</v>
      </c>
      <c r="H96" s="92">
        <f>H97</f>
        <v>1554</v>
      </c>
    </row>
    <row r="97" spans="1:8" ht="15">
      <c r="A97" s="96" t="s">
        <v>455</v>
      </c>
      <c r="B97" s="94" t="s">
        <v>445</v>
      </c>
      <c r="C97" s="94" t="s">
        <v>26</v>
      </c>
      <c r="D97" s="94" t="s">
        <v>24</v>
      </c>
      <c r="E97" s="94" t="s">
        <v>454</v>
      </c>
      <c r="F97" s="93"/>
      <c r="G97" s="92">
        <f>G98</f>
        <v>1492</v>
      </c>
      <c r="H97" s="92">
        <f>H98</f>
        <v>1554</v>
      </c>
    </row>
    <row r="98" spans="1:8" ht="45">
      <c r="A98" s="96" t="s">
        <v>201</v>
      </c>
      <c r="B98" s="94" t="s">
        <v>445</v>
      </c>
      <c r="C98" s="94" t="s">
        <v>26</v>
      </c>
      <c r="D98" s="94" t="s">
        <v>24</v>
      </c>
      <c r="E98" s="94" t="s">
        <v>454</v>
      </c>
      <c r="F98" s="93" t="s">
        <v>199</v>
      </c>
      <c r="G98" s="92">
        <v>1492</v>
      </c>
      <c r="H98" s="136">
        <v>1554</v>
      </c>
    </row>
    <row r="99" spans="1:8" ht="45">
      <c r="A99" s="96" t="s">
        <v>453</v>
      </c>
      <c r="B99" s="94" t="s">
        <v>445</v>
      </c>
      <c r="C99" s="94" t="s">
        <v>26</v>
      </c>
      <c r="D99" s="94" t="s">
        <v>22</v>
      </c>
      <c r="E99" s="94" t="s">
        <v>205</v>
      </c>
      <c r="F99" s="93"/>
      <c r="G99" s="92">
        <f>G100</f>
        <v>540</v>
      </c>
      <c r="H99" s="92">
        <f>H100</f>
        <v>540</v>
      </c>
    </row>
    <row r="100" spans="1:8" ht="30">
      <c r="A100" s="99" t="s">
        <v>191</v>
      </c>
      <c r="B100" s="94" t="s">
        <v>445</v>
      </c>
      <c r="C100" s="94" t="s">
        <v>26</v>
      </c>
      <c r="D100" s="94" t="s">
        <v>22</v>
      </c>
      <c r="E100" s="94" t="s">
        <v>205</v>
      </c>
      <c r="F100" s="93" t="s">
        <v>189</v>
      </c>
      <c r="G100" s="92">
        <v>540</v>
      </c>
      <c r="H100" s="136">
        <v>540</v>
      </c>
    </row>
    <row r="101" spans="1:8" ht="15">
      <c r="A101" s="96" t="s">
        <v>113</v>
      </c>
      <c r="B101" s="94" t="s">
        <v>445</v>
      </c>
      <c r="C101" s="94" t="s">
        <v>16</v>
      </c>
      <c r="D101" s="94"/>
      <c r="E101" s="94"/>
      <c r="F101" s="93"/>
      <c r="G101" s="92">
        <f>G102</f>
        <v>3000</v>
      </c>
      <c r="H101" s="92">
        <f>H102</f>
        <v>0</v>
      </c>
    </row>
    <row r="102" spans="1:8" ht="15.75">
      <c r="A102" s="141" t="s">
        <v>13</v>
      </c>
      <c r="B102" s="94" t="s">
        <v>445</v>
      </c>
      <c r="C102" s="94" t="s">
        <v>16</v>
      </c>
      <c r="D102" s="94" t="s">
        <v>14</v>
      </c>
      <c r="E102" s="94"/>
      <c r="F102" s="93"/>
      <c r="G102" s="92">
        <f>G103</f>
        <v>3000</v>
      </c>
      <c r="H102" s="92">
        <f>H103</f>
        <v>0</v>
      </c>
    </row>
    <row r="103" spans="1:8" ht="30">
      <c r="A103" s="96" t="s">
        <v>111</v>
      </c>
      <c r="B103" s="94" t="s">
        <v>445</v>
      </c>
      <c r="C103" s="94" t="s">
        <v>16</v>
      </c>
      <c r="D103" s="94" t="s">
        <v>14</v>
      </c>
      <c r="E103" s="94" t="s">
        <v>110</v>
      </c>
      <c r="F103" s="93"/>
      <c r="G103" s="92">
        <f>G104</f>
        <v>3000</v>
      </c>
      <c r="H103" s="92">
        <f>H104</f>
        <v>0</v>
      </c>
    </row>
    <row r="104" spans="1:8" ht="45">
      <c r="A104" s="96" t="s">
        <v>558</v>
      </c>
      <c r="B104" s="94" t="s">
        <v>445</v>
      </c>
      <c r="C104" s="94" t="s">
        <v>16</v>
      </c>
      <c r="D104" s="94" t="s">
        <v>14</v>
      </c>
      <c r="E104" s="94" t="s">
        <v>108</v>
      </c>
      <c r="F104" s="93"/>
      <c r="G104" s="92">
        <f>G105</f>
        <v>3000</v>
      </c>
      <c r="H104" s="92">
        <f>H105</f>
        <v>0</v>
      </c>
    </row>
    <row r="105" spans="1:8" ht="45">
      <c r="A105" s="96" t="s">
        <v>547</v>
      </c>
      <c r="B105" s="94" t="s">
        <v>445</v>
      </c>
      <c r="C105" s="94" t="s">
        <v>16</v>
      </c>
      <c r="D105" s="94" t="s">
        <v>14</v>
      </c>
      <c r="E105" s="94" t="s">
        <v>104</v>
      </c>
      <c r="F105" s="93"/>
      <c r="G105" s="92">
        <f>G106</f>
        <v>3000</v>
      </c>
      <c r="H105" s="92">
        <f>H106</f>
        <v>0</v>
      </c>
    </row>
    <row r="106" spans="1:8" ht="45">
      <c r="A106" s="96" t="s">
        <v>452</v>
      </c>
      <c r="B106" s="94" t="s">
        <v>445</v>
      </c>
      <c r="C106" s="94" t="s">
        <v>16</v>
      </c>
      <c r="D106" s="94" t="s">
        <v>14</v>
      </c>
      <c r="E106" s="94" t="s">
        <v>104</v>
      </c>
      <c r="F106" s="93" t="s">
        <v>451</v>
      </c>
      <c r="G106" s="92">
        <v>3000</v>
      </c>
      <c r="H106" s="136">
        <v>0</v>
      </c>
    </row>
    <row r="107" spans="1:8" ht="15">
      <c r="A107" s="96" t="s">
        <v>450</v>
      </c>
      <c r="B107" s="94" t="s">
        <v>445</v>
      </c>
      <c r="C107" s="94" t="s">
        <v>8</v>
      </c>
      <c r="D107" s="94"/>
      <c r="E107" s="94"/>
      <c r="F107" s="93"/>
      <c r="G107" s="92">
        <f>G108</f>
        <v>580</v>
      </c>
      <c r="H107" s="92">
        <f>H108</f>
        <v>609</v>
      </c>
    </row>
    <row r="108" spans="1:8" ht="15">
      <c r="A108" s="96" t="s">
        <v>449</v>
      </c>
      <c r="B108" s="94" t="s">
        <v>445</v>
      </c>
      <c r="C108" s="94" t="s">
        <v>8</v>
      </c>
      <c r="D108" s="94" t="s">
        <v>6</v>
      </c>
      <c r="E108" s="94"/>
      <c r="F108" s="93"/>
      <c r="G108" s="92">
        <f>G109</f>
        <v>580</v>
      </c>
      <c r="H108" s="92">
        <f>H109</f>
        <v>609</v>
      </c>
    </row>
    <row r="109" spans="1:8" ht="30">
      <c r="A109" s="96" t="s">
        <v>448</v>
      </c>
      <c r="B109" s="94" t="s">
        <v>445</v>
      </c>
      <c r="C109" s="94" t="s">
        <v>8</v>
      </c>
      <c r="D109" s="94" t="s">
        <v>6</v>
      </c>
      <c r="E109" s="94" t="s">
        <v>447</v>
      </c>
      <c r="F109" s="93"/>
      <c r="G109" s="92">
        <f>G110</f>
        <v>580</v>
      </c>
      <c r="H109" s="92">
        <f>H110</f>
        <v>609</v>
      </c>
    </row>
    <row r="110" spans="1:8" ht="30">
      <c r="A110" s="96" t="s">
        <v>446</v>
      </c>
      <c r="B110" s="94" t="s">
        <v>445</v>
      </c>
      <c r="C110" s="94" t="s">
        <v>8</v>
      </c>
      <c r="D110" s="94" t="s">
        <v>6</v>
      </c>
      <c r="E110" s="94" t="s">
        <v>444</v>
      </c>
      <c r="F110" s="93"/>
      <c r="G110" s="92">
        <f>G111</f>
        <v>580</v>
      </c>
      <c r="H110" s="92">
        <f>H111</f>
        <v>609</v>
      </c>
    </row>
    <row r="111" spans="1:8" ht="30">
      <c r="A111" s="96" t="s">
        <v>118</v>
      </c>
      <c r="B111" s="94" t="s">
        <v>445</v>
      </c>
      <c r="C111" s="94" t="s">
        <v>8</v>
      </c>
      <c r="D111" s="94" t="s">
        <v>6</v>
      </c>
      <c r="E111" s="94" t="s">
        <v>444</v>
      </c>
      <c r="F111" s="93" t="s">
        <v>117</v>
      </c>
      <c r="G111" s="92">
        <v>580</v>
      </c>
      <c r="H111" s="136">
        <v>609</v>
      </c>
    </row>
    <row r="112" spans="1:8" ht="42.75">
      <c r="A112" s="111" t="s">
        <v>443</v>
      </c>
      <c r="B112" s="110" t="s">
        <v>437</v>
      </c>
      <c r="C112" s="125"/>
      <c r="D112" s="125"/>
      <c r="E112" s="125"/>
      <c r="F112" s="124"/>
      <c r="G112" s="109">
        <f>G116+G126+G113</f>
        <v>59052.39</v>
      </c>
      <c r="H112" s="109">
        <f>H116+H126+H113</f>
        <v>93374.65950000001</v>
      </c>
    </row>
    <row r="113" spans="1:8" ht="15">
      <c r="A113" s="177" t="s">
        <v>531</v>
      </c>
      <c r="B113" s="176" t="s">
        <v>437</v>
      </c>
      <c r="C113" s="176" t="s">
        <v>557</v>
      </c>
      <c r="D113" s="176" t="s">
        <v>557</v>
      </c>
      <c r="E113" s="179" t="s">
        <v>146</v>
      </c>
      <c r="F113" s="178"/>
      <c r="G113" s="174">
        <f>G114</f>
        <v>26874</v>
      </c>
      <c r="H113" s="174">
        <f>H114</f>
        <v>55986.8</v>
      </c>
    </row>
    <row r="114" spans="1:8" ht="15">
      <c r="A114" s="177" t="s">
        <v>531</v>
      </c>
      <c r="B114" s="176" t="s">
        <v>437</v>
      </c>
      <c r="C114" s="176" t="s">
        <v>557</v>
      </c>
      <c r="D114" s="176" t="s">
        <v>557</v>
      </c>
      <c r="E114" s="176" t="s">
        <v>556</v>
      </c>
      <c r="F114" s="178"/>
      <c r="G114" s="174">
        <f>G115</f>
        <v>26874</v>
      </c>
      <c r="H114" s="174">
        <f>H115</f>
        <v>55986.8</v>
      </c>
    </row>
    <row r="115" spans="1:8" ht="15">
      <c r="A115" s="177" t="s">
        <v>531</v>
      </c>
      <c r="B115" s="176" t="s">
        <v>437</v>
      </c>
      <c r="C115" s="176" t="s">
        <v>557</v>
      </c>
      <c r="D115" s="176" t="s">
        <v>557</v>
      </c>
      <c r="E115" s="176" t="s">
        <v>556</v>
      </c>
      <c r="F115" s="175" t="s">
        <v>555</v>
      </c>
      <c r="G115" s="174">
        <f>26883-9</f>
        <v>26874</v>
      </c>
      <c r="H115" s="173">
        <f>55990.4-3.6</f>
        <v>55986.8</v>
      </c>
    </row>
    <row r="116" spans="1:8" ht="15">
      <c r="A116" s="96" t="s">
        <v>338</v>
      </c>
      <c r="B116" s="94" t="s">
        <v>437</v>
      </c>
      <c r="C116" s="94" t="s">
        <v>94</v>
      </c>
      <c r="D116" s="94"/>
      <c r="E116" s="94"/>
      <c r="F116" s="93"/>
      <c r="G116" s="92">
        <f>G117</f>
        <v>13870.39</v>
      </c>
      <c r="H116" s="92">
        <f>H117</f>
        <v>14561.459499999999</v>
      </c>
    </row>
    <row r="117" spans="1:8" ht="45">
      <c r="A117" s="96" t="s">
        <v>85</v>
      </c>
      <c r="B117" s="94" t="s">
        <v>437</v>
      </c>
      <c r="C117" s="94" t="s">
        <v>94</v>
      </c>
      <c r="D117" s="94" t="s">
        <v>86</v>
      </c>
      <c r="E117" s="94"/>
      <c r="F117" s="93"/>
      <c r="G117" s="136">
        <f>G118</f>
        <v>13870.39</v>
      </c>
      <c r="H117" s="136">
        <f>H118</f>
        <v>14561.459499999999</v>
      </c>
    </row>
    <row r="118" spans="1:8" ht="45">
      <c r="A118" s="99" t="s">
        <v>134</v>
      </c>
      <c r="B118" s="94" t="s">
        <v>437</v>
      </c>
      <c r="C118" s="94" t="s">
        <v>94</v>
      </c>
      <c r="D118" s="94" t="s">
        <v>86</v>
      </c>
      <c r="E118" s="94" t="s">
        <v>133</v>
      </c>
      <c r="F118" s="93"/>
      <c r="G118" s="136">
        <f>G119</f>
        <v>13870.39</v>
      </c>
      <c r="H118" s="136">
        <f>H119</f>
        <v>14561.459499999999</v>
      </c>
    </row>
    <row r="119" spans="1:8" ht="15">
      <c r="A119" s="99" t="s">
        <v>132</v>
      </c>
      <c r="B119" s="94" t="s">
        <v>437</v>
      </c>
      <c r="C119" s="94" t="s">
        <v>94</v>
      </c>
      <c r="D119" s="94" t="s">
        <v>86</v>
      </c>
      <c r="E119" s="94" t="s">
        <v>127</v>
      </c>
      <c r="F119" s="93"/>
      <c r="G119" s="136">
        <f>SUM(G120:G125)</f>
        <v>13870.39</v>
      </c>
      <c r="H119" s="136">
        <f>SUM(H120:H125)</f>
        <v>14561.459499999999</v>
      </c>
    </row>
    <row r="120" spans="1:8" ht="15">
      <c r="A120" s="98" t="s">
        <v>124</v>
      </c>
      <c r="B120" s="94" t="s">
        <v>437</v>
      </c>
      <c r="C120" s="94" t="s">
        <v>94</v>
      </c>
      <c r="D120" s="94" t="s">
        <v>86</v>
      </c>
      <c r="E120" s="94" t="s">
        <v>127</v>
      </c>
      <c r="F120" s="97" t="s">
        <v>131</v>
      </c>
      <c r="G120" s="136">
        <f>10318*1.105</f>
        <v>11401.39</v>
      </c>
      <c r="H120" s="171">
        <f>G120*1.05</f>
        <v>11971.459499999999</v>
      </c>
    </row>
    <row r="121" spans="1:8" ht="30">
      <c r="A121" s="98" t="s">
        <v>122</v>
      </c>
      <c r="B121" s="94" t="s">
        <v>437</v>
      </c>
      <c r="C121" s="94" t="s">
        <v>94</v>
      </c>
      <c r="D121" s="94" t="s">
        <v>86</v>
      </c>
      <c r="E121" s="94" t="s">
        <v>127</v>
      </c>
      <c r="F121" s="97" t="s">
        <v>130</v>
      </c>
      <c r="G121" s="136">
        <v>12</v>
      </c>
      <c r="H121" s="136">
        <v>12</v>
      </c>
    </row>
    <row r="122" spans="1:8" ht="30">
      <c r="A122" s="98" t="s">
        <v>120</v>
      </c>
      <c r="B122" s="94" t="s">
        <v>437</v>
      </c>
      <c r="C122" s="94" t="s">
        <v>94</v>
      </c>
      <c r="D122" s="94" t="s">
        <v>86</v>
      </c>
      <c r="E122" s="94" t="s">
        <v>127</v>
      </c>
      <c r="F122" s="97" t="s">
        <v>119</v>
      </c>
      <c r="G122" s="136">
        <v>1854</v>
      </c>
      <c r="H122" s="136">
        <v>1947</v>
      </c>
    </row>
    <row r="123" spans="1:8" ht="30">
      <c r="A123" s="96" t="s">
        <v>118</v>
      </c>
      <c r="B123" s="94" t="s">
        <v>437</v>
      </c>
      <c r="C123" s="94" t="s">
        <v>94</v>
      </c>
      <c r="D123" s="94" t="s">
        <v>86</v>
      </c>
      <c r="E123" s="94" t="s">
        <v>127</v>
      </c>
      <c r="F123" s="97" t="s">
        <v>117</v>
      </c>
      <c r="G123" s="136">
        <v>580</v>
      </c>
      <c r="H123" s="136">
        <v>608</v>
      </c>
    </row>
    <row r="124" spans="1:8" ht="30">
      <c r="A124" s="98" t="s">
        <v>129</v>
      </c>
      <c r="B124" s="94" t="s">
        <v>437</v>
      </c>
      <c r="C124" s="94" t="s">
        <v>94</v>
      </c>
      <c r="D124" s="94" t="s">
        <v>86</v>
      </c>
      <c r="E124" s="94" t="s">
        <v>127</v>
      </c>
      <c r="F124" s="97" t="s">
        <v>128</v>
      </c>
      <c r="G124" s="136">
        <v>20</v>
      </c>
      <c r="H124" s="136">
        <v>20</v>
      </c>
    </row>
    <row r="125" spans="1:8" ht="30">
      <c r="A125" s="98" t="s">
        <v>116</v>
      </c>
      <c r="B125" s="94" t="s">
        <v>437</v>
      </c>
      <c r="C125" s="94" t="s">
        <v>94</v>
      </c>
      <c r="D125" s="94" t="s">
        <v>86</v>
      </c>
      <c r="E125" s="94" t="s">
        <v>127</v>
      </c>
      <c r="F125" s="97" t="s">
        <v>114</v>
      </c>
      <c r="G125" s="136">
        <v>3</v>
      </c>
      <c r="H125" s="136">
        <v>3</v>
      </c>
    </row>
    <row r="126" spans="1:8" ht="30">
      <c r="A126" s="99" t="s">
        <v>442</v>
      </c>
      <c r="B126" s="94" t="s">
        <v>437</v>
      </c>
      <c r="C126" s="94" t="s">
        <v>4</v>
      </c>
      <c r="D126" s="94" t="s">
        <v>2</v>
      </c>
      <c r="E126" s="94"/>
      <c r="F126" s="93"/>
      <c r="G126" s="136">
        <f>G127</f>
        <v>18308</v>
      </c>
      <c r="H126" s="136">
        <f>H127</f>
        <v>22826.399999999998</v>
      </c>
    </row>
    <row r="127" spans="1:8" ht="30">
      <c r="A127" s="99" t="s">
        <v>441</v>
      </c>
      <c r="B127" s="94" t="s">
        <v>437</v>
      </c>
      <c r="C127" s="94" t="s">
        <v>4</v>
      </c>
      <c r="D127" s="94" t="s">
        <v>2</v>
      </c>
      <c r="E127" s="94" t="s">
        <v>440</v>
      </c>
      <c r="F127" s="93"/>
      <c r="G127" s="136">
        <f>G128</f>
        <v>18308</v>
      </c>
      <c r="H127" s="136">
        <f>H128</f>
        <v>22826.399999999998</v>
      </c>
    </row>
    <row r="128" spans="1:8" ht="15">
      <c r="A128" s="96" t="s">
        <v>439</v>
      </c>
      <c r="B128" s="94" t="s">
        <v>437</v>
      </c>
      <c r="C128" s="94" t="s">
        <v>4</v>
      </c>
      <c r="D128" s="94" t="s">
        <v>2</v>
      </c>
      <c r="E128" s="94" t="s">
        <v>436</v>
      </c>
      <c r="F128" s="93"/>
      <c r="G128" s="136">
        <f>G129</f>
        <v>18308</v>
      </c>
      <c r="H128" s="136">
        <f>H129</f>
        <v>22826.399999999998</v>
      </c>
    </row>
    <row r="129" spans="1:8" ht="15">
      <c r="A129" s="134" t="s">
        <v>438</v>
      </c>
      <c r="B129" s="94" t="s">
        <v>437</v>
      </c>
      <c r="C129" s="94" t="s">
        <v>4</v>
      </c>
      <c r="D129" s="94" t="s">
        <v>2</v>
      </c>
      <c r="E129" s="94" t="s">
        <v>436</v>
      </c>
      <c r="F129" s="93" t="s">
        <v>435</v>
      </c>
      <c r="G129" s="136">
        <f>18299+9</f>
        <v>18308</v>
      </c>
      <c r="H129" s="89">
        <f>22822.8+3.6</f>
        <v>22826.399999999998</v>
      </c>
    </row>
    <row r="130" spans="1:8" ht="42.75">
      <c r="A130" s="111" t="s">
        <v>434</v>
      </c>
      <c r="B130" s="110" t="s">
        <v>420</v>
      </c>
      <c r="C130" s="125"/>
      <c r="D130" s="125"/>
      <c r="E130" s="125"/>
      <c r="F130" s="124"/>
      <c r="G130" s="139">
        <f>G131+G144</f>
        <v>29945.68</v>
      </c>
      <c r="H130" s="139">
        <f>H131+H144</f>
        <v>30755.579</v>
      </c>
    </row>
    <row r="131" spans="1:8" ht="15">
      <c r="A131" s="96" t="s">
        <v>338</v>
      </c>
      <c r="B131" s="94" t="s">
        <v>420</v>
      </c>
      <c r="C131" s="94" t="s">
        <v>94</v>
      </c>
      <c r="D131" s="94"/>
      <c r="E131" s="94"/>
      <c r="F131" s="93"/>
      <c r="G131" s="136">
        <f>G132</f>
        <v>15076.98</v>
      </c>
      <c r="H131" s="136">
        <f>H132</f>
        <v>15836.879</v>
      </c>
    </row>
    <row r="132" spans="1:8" ht="15">
      <c r="A132" s="96" t="s">
        <v>79</v>
      </c>
      <c r="B132" s="94" t="s">
        <v>420</v>
      </c>
      <c r="C132" s="94" t="s">
        <v>94</v>
      </c>
      <c r="D132" s="94" t="s">
        <v>80</v>
      </c>
      <c r="E132" s="94"/>
      <c r="F132" s="93"/>
      <c r="G132" s="136">
        <f>G134+G141</f>
        <v>15076.98</v>
      </c>
      <c r="H132" s="136">
        <f>H134+H141</f>
        <v>15836.879</v>
      </c>
    </row>
    <row r="133" spans="1:8" ht="45">
      <c r="A133" s="99" t="s">
        <v>134</v>
      </c>
      <c r="B133" s="94" t="s">
        <v>420</v>
      </c>
      <c r="C133" s="94" t="s">
        <v>94</v>
      </c>
      <c r="D133" s="94" t="s">
        <v>80</v>
      </c>
      <c r="E133" s="94" t="s">
        <v>133</v>
      </c>
      <c r="F133" s="93"/>
      <c r="G133" s="136">
        <f>G134</f>
        <v>12951.98</v>
      </c>
      <c r="H133" s="136">
        <f>H134</f>
        <v>13595.879</v>
      </c>
    </row>
    <row r="134" spans="1:8" ht="15">
      <c r="A134" s="99" t="s">
        <v>132</v>
      </c>
      <c r="B134" s="94" t="s">
        <v>420</v>
      </c>
      <c r="C134" s="94" t="s">
        <v>94</v>
      </c>
      <c r="D134" s="94" t="s">
        <v>80</v>
      </c>
      <c r="E134" s="94" t="s">
        <v>127</v>
      </c>
      <c r="F134" s="93"/>
      <c r="G134" s="136">
        <f>SUM(G135:G140)</f>
        <v>12951.98</v>
      </c>
      <c r="H134" s="136">
        <f>SUM(H135:H140)</f>
        <v>13595.879</v>
      </c>
    </row>
    <row r="135" spans="1:8" ht="15">
      <c r="A135" s="98" t="s">
        <v>124</v>
      </c>
      <c r="B135" s="94" t="s">
        <v>420</v>
      </c>
      <c r="C135" s="94" t="s">
        <v>94</v>
      </c>
      <c r="D135" s="94" t="s">
        <v>80</v>
      </c>
      <c r="E135" s="94" t="s">
        <v>127</v>
      </c>
      <c r="F135" s="97" t="s">
        <v>131</v>
      </c>
      <c r="G135" s="136">
        <f>10876*1.105</f>
        <v>12017.98</v>
      </c>
      <c r="H135" s="171">
        <f>G135*1.05</f>
        <v>12618.879</v>
      </c>
    </row>
    <row r="136" spans="1:8" ht="30">
      <c r="A136" s="98" t="s">
        <v>122</v>
      </c>
      <c r="B136" s="94" t="s">
        <v>420</v>
      </c>
      <c r="C136" s="94" t="s">
        <v>94</v>
      </c>
      <c r="D136" s="94" t="s">
        <v>80</v>
      </c>
      <c r="E136" s="94" t="s">
        <v>127</v>
      </c>
      <c r="F136" s="97" t="s">
        <v>130</v>
      </c>
      <c r="G136" s="136">
        <v>25</v>
      </c>
      <c r="H136" s="136">
        <v>25</v>
      </c>
    </row>
    <row r="137" spans="1:8" ht="30">
      <c r="A137" s="116" t="s">
        <v>120</v>
      </c>
      <c r="B137" s="94" t="s">
        <v>420</v>
      </c>
      <c r="C137" s="94" t="s">
        <v>94</v>
      </c>
      <c r="D137" s="94" t="s">
        <v>80</v>
      </c>
      <c r="E137" s="94" t="s">
        <v>127</v>
      </c>
      <c r="F137" s="97" t="s">
        <v>119</v>
      </c>
      <c r="G137" s="136">
        <v>553</v>
      </c>
      <c r="H137" s="136">
        <v>580</v>
      </c>
    </row>
    <row r="138" spans="1:8" ht="30">
      <c r="A138" s="96" t="s">
        <v>118</v>
      </c>
      <c r="B138" s="94" t="s">
        <v>420</v>
      </c>
      <c r="C138" s="94" t="s">
        <v>94</v>
      </c>
      <c r="D138" s="94" t="s">
        <v>80</v>
      </c>
      <c r="E138" s="94" t="s">
        <v>127</v>
      </c>
      <c r="F138" s="97" t="s">
        <v>117</v>
      </c>
      <c r="G138" s="136">
        <v>341</v>
      </c>
      <c r="H138" s="136">
        <v>357</v>
      </c>
    </row>
    <row r="139" spans="1:8" ht="30">
      <c r="A139" s="98" t="s">
        <v>129</v>
      </c>
      <c r="B139" s="94" t="s">
        <v>420</v>
      </c>
      <c r="C139" s="94" t="s">
        <v>94</v>
      </c>
      <c r="D139" s="94" t="s">
        <v>80</v>
      </c>
      <c r="E139" s="94" t="s">
        <v>127</v>
      </c>
      <c r="F139" s="97" t="s">
        <v>128</v>
      </c>
      <c r="G139" s="136">
        <v>10</v>
      </c>
      <c r="H139" s="169">
        <v>10</v>
      </c>
    </row>
    <row r="140" spans="1:8" ht="30">
      <c r="A140" s="98" t="s">
        <v>116</v>
      </c>
      <c r="B140" s="94" t="s">
        <v>420</v>
      </c>
      <c r="C140" s="94" t="s">
        <v>94</v>
      </c>
      <c r="D140" s="94" t="s">
        <v>80</v>
      </c>
      <c r="E140" s="94" t="s">
        <v>127</v>
      </c>
      <c r="F140" s="97" t="s">
        <v>114</v>
      </c>
      <c r="G140" s="136">
        <v>5</v>
      </c>
      <c r="H140" s="169">
        <v>5</v>
      </c>
    </row>
    <row r="141" spans="1:8" ht="45">
      <c r="A141" s="99" t="s">
        <v>433</v>
      </c>
      <c r="B141" s="94" t="s">
        <v>420</v>
      </c>
      <c r="C141" s="94" t="s">
        <v>94</v>
      </c>
      <c r="D141" s="94" t="s">
        <v>80</v>
      </c>
      <c r="E141" s="94" t="s">
        <v>432</v>
      </c>
      <c r="F141" s="93"/>
      <c r="G141" s="136">
        <f>G142</f>
        <v>2125</v>
      </c>
      <c r="H141" s="136">
        <f>H142</f>
        <v>2241</v>
      </c>
    </row>
    <row r="142" spans="1:8" ht="45">
      <c r="A142" s="96" t="s">
        <v>431</v>
      </c>
      <c r="B142" s="94" t="s">
        <v>420</v>
      </c>
      <c r="C142" s="94" t="s">
        <v>94</v>
      </c>
      <c r="D142" s="94" t="s">
        <v>80</v>
      </c>
      <c r="E142" s="94" t="s">
        <v>430</v>
      </c>
      <c r="F142" s="93"/>
      <c r="G142" s="136">
        <f>G143</f>
        <v>2125</v>
      </c>
      <c r="H142" s="136">
        <f>H143</f>
        <v>2241</v>
      </c>
    </row>
    <row r="143" spans="1:8" ht="30">
      <c r="A143" s="96" t="s">
        <v>118</v>
      </c>
      <c r="B143" s="94" t="s">
        <v>420</v>
      </c>
      <c r="C143" s="94" t="s">
        <v>94</v>
      </c>
      <c r="D143" s="94" t="s">
        <v>80</v>
      </c>
      <c r="E143" s="94" t="s">
        <v>430</v>
      </c>
      <c r="F143" s="93" t="s">
        <v>117</v>
      </c>
      <c r="G143" s="136">
        <v>2125</v>
      </c>
      <c r="H143" s="136">
        <v>2241</v>
      </c>
    </row>
    <row r="144" spans="1:8" ht="15">
      <c r="A144" s="96" t="s">
        <v>208</v>
      </c>
      <c r="B144" s="94" t="s">
        <v>420</v>
      </c>
      <c r="C144" s="94" t="s">
        <v>26</v>
      </c>
      <c r="D144" s="94"/>
      <c r="E144" s="94"/>
      <c r="F144" s="93"/>
      <c r="G144" s="136">
        <f>G148+G145</f>
        <v>14868.7</v>
      </c>
      <c r="H144" s="136">
        <f>H148+H145</f>
        <v>14918.7</v>
      </c>
    </row>
    <row r="145" spans="1:8" ht="15">
      <c r="A145" s="96" t="s">
        <v>21</v>
      </c>
      <c r="B145" s="94" t="s">
        <v>420</v>
      </c>
      <c r="C145" s="94" t="s">
        <v>26</v>
      </c>
      <c r="D145" s="94" t="s">
        <v>22</v>
      </c>
      <c r="E145" s="94"/>
      <c r="F145" s="93"/>
      <c r="G145" s="136">
        <f>G146</f>
        <v>700</v>
      </c>
      <c r="H145" s="136">
        <f>H146</f>
        <v>750</v>
      </c>
    </row>
    <row r="146" spans="1:8" ht="30">
      <c r="A146" s="96" t="s">
        <v>429</v>
      </c>
      <c r="B146" s="94" t="s">
        <v>420</v>
      </c>
      <c r="C146" s="94" t="s">
        <v>26</v>
      </c>
      <c r="D146" s="94" t="s">
        <v>22</v>
      </c>
      <c r="E146" s="94" t="s">
        <v>427</v>
      </c>
      <c r="F146" s="93"/>
      <c r="G146" s="136">
        <f>G147</f>
        <v>700</v>
      </c>
      <c r="H146" s="136">
        <f>H147</f>
        <v>750</v>
      </c>
    </row>
    <row r="147" spans="1:8" ht="15">
      <c r="A147" s="99" t="s">
        <v>428</v>
      </c>
      <c r="B147" s="94" t="s">
        <v>420</v>
      </c>
      <c r="C147" s="94" t="s">
        <v>26</v>
      </c>
      <c r="D147" s="94" t="s">
        <v>22</v>
      </c>
      <c r="E147" s="94" t="s">
        <v>427</v>
      </c>
      <c r="F147" s="93" t="s">
        <v>426</v>
      </c>
      <c r="G147" s="136">
        <v>700</v>
      </c>
      <c r="H147" s="89">
        <v>750</v>
      </c>
    </row>
    <row r="148" spans="1:8" ht="15">
      <c r="A148" s="96" t="s">
        <v>19</v>
      </c>
      <c r="B148" s="94" t="s">
        <v>420</v>
      </c>
      <c r="C148" s="94" t="s">
        <v>26</v>
      </c>
      <c r="D148" s="94" t="s">
        <v>20</v>
      </c>
      <c r="E148" s="94"/>
      <c r="F148" s="93"/>
      <c r="G148" s="136">
        <f>G149</f>
        <v>14168.7</v>
      </c>
      <c r="H148" s="136">
        <f>H149</f>
        <v>14168.7</v>
      </c>
    </row>
    <row r="149" spans="1:8" ht="90">
      <c r="A149" s="96" t="s">
        <v>421</v>
      </c>
      <c r="B149" s="94" t="s">
        <v>420</v>
      </c>
      <c r="C149" s="94" t="s">
        <v>26</v>
      </c>
      <c r="D149" s="94" t="s">
        <v>20</v>
      </c>
      <c r="E149" s="94" t="s">
        <v>419</v>
      </c>
      <c r="F149" s="93"/>
      <c r="G149" s="136">
        <f>G150</f>
        <v>14168.7</v>
      </c>
      <c r="H149" s="136">
        <f>H150</f>
        <v>14168.7</v>
      </c>
    </row>
    <row r="150" spans="1:8" ht="30">
      <c r="A150" s="96" t="s">
        <v>118</v>
      </c>
      <c r="B150" s="94" t="s">
        <v>420</v>
      </c>
      <c r="C150" s="94" t="s">
        <v>26</v>
      </c>
      <c r="D150" s="94" t="s">
        <v>20</v>
      </c>
      <c r="E150" s="94" t="s">
        <v>419</v>
      </c>
      <c r="F150" s="93" t="s">
        <v>117</v>
      </c>
      <c r="G150" s="136">
        <v>14168.7</v>
      </c>
      <c r="H150" s="172">
        <v>14168.7</v>
      </c>
    </row>
    <row r="151" spans="1:8" ht="28.5">
      <c r="A151" s="135" t="s">
        <v>418</v>
      </c>
      <c r="B151" s="110" t="s">
        <v>416</v>
      </c>
      <c r="C151" s="138"/>
      <c r="D151" s="138"/>
      <c r="E151" s="138"/>
      <c r="F151" s="137"/>
      <c r="G151" s="109">
        <f>G152</f>
        <v>3328.825</v>
      </c>
      <c r="H151" s="109">
        <f>H152</f>
        <v>3493.54125</v>
      </c>
    </row>
    <row r="152" spans="1:8" ht="15">
      <c r="A152" s="96" t="s">
        <v>338</v>
      </c>
      <c r="B152" s="125" t="s">
        <v>416</v>
      </c>
      <c r="C152" s="94" t="s">
        <v>94</v>
      </c>
      <c r="D152" s="94"/>
      <c r="E152" s="94"/>
      <c r="F152" s="93"/>
      <c r="G152" s="92">
        <f>G153</f>
        <v>3328.825</v>
      </c>
      <c r="H152" s="92">
        <f>H153</f>
        <v>3493.54125</v>
      </c>
    </row>
    <row r="153" spans="1:8" ht="45">
      <c r="A153" s="96" t="s">
        <v>85</v>
      </c>
      <c r="B153" s="94" t="s">
        <v>416</v>
      </c>
      <c r="C153" s="94" t="s">
        <v>94</v>
      </c>
      <c r="D153" s="94" t="s">
        <v>86</v>
      </c>
      <c r="E153" s="94"/>
      <c r="F153" s="93"/>
      <c r="G153" s="136">
        <f>G154</f>
        <v>3328.825</v>
      </c>
      <c r="H153" s="136">
        <f>H154</f>
        <v>3493.54125</v>
      </c>
    </row>
    <row r="154" spans="1:8" ht="45">
      <c r="A154" s="99" t="s">
        <v>134</v>
      </c>
      <c r="B154" s="94" t="s">
        <v>416</v>
      </c>
      <c r="C154" s="94" t="s">
        <v>94</v>
      </c>
      <c r="D154" s="94" t="s">
        <v>86</v>
      </c>
      <c r="E154" s="94" t="s">
        <v>133</v>
      </c>
      <c r="F154" s="93"/>
      <c r="G154" s="136">
        <f>G155+G162</f>
        <v>3328.825</v>
      </c>
      <c r="H154" s="136">
        <f>H155+H162</f>
        <v>3493.54125</v>
      </c>
    </row>
    <row r="155" spans="1:8" ht="15">
      <c r="A155" s="99" t="s">
        <v>132</v>
      </c>
      <c r="B155" s="94" t="s">
        <v>416</v>
      </c>
      <c r="C155" s="94" t="s">
        <v>94</v>
      </c>
      <c r="D155" s="94" t="s">
        <v>86</v>
      </c>
      <c r="E155" s="94" t="s">
        <v>127</v>
      </c>
      <c r="F155" s="93"/>
      <c r="G155" s="136">
        <f>SUM(G156:G161)</f>
        <v>1634.86</v>
      </c>
      <c r="H155" s="136">
        <f>SUM(H156:H161)</f>
        <v>1714.878</v>
      </c>
    </row>
    <row r="156" spans="1:8" ht="15">
      <c r="A156" s="98" t="s">
        <v>124</v>
      </c>
      <c r="B156" s="94" t="s">
        <v>416</v>
      </c>
      <c r="C156" s="94" t="s">
        <v>94</v>
      </c>
      <c r="D156" s="94" t="s">
        <v>86</v>
      </c>
      <c r="E156" s="94" t="s">
        <v>127</v>
      </c>
      <c r="F156" s="97" t="s">
        <v>131</v>
      </c>
      <c r="G156" s="136">
        <f>1032*1.105</f>
        <v>1140.36</v>
      </c>
      <c r="H156" s="171">
        <f>G156*1.05</f>
        <v>1197.378</v>
      </c>
    </row>
    <row r="157" spans="1:8" ht="30">
      <c r="A157" s="98" t="s">
        <v>122</v>
      </c>
      <c r="B157" s="94" t="s">
        <v>416</v>
      </c>
      <c r="C157" s="94" t="s">
        <v>94</v>
      </c>
      <c r="D157" s="94" t="s">
        <v>86</v>
      </c>
      <c r="E157" s="94" t="s">
        <v>127</v>
      </c>
      <c r="F157" s="97" t="s">
        <v>130</v>
      </c>
      <c r="G157" s="136">
        <v>13</v>
      </c>
      <c r="H157" s="136">
        <v>13</v>
      </c>
    </row>
    <row r="158" spans="1:8" ht="30">
      <c r="A158" s="98" t="s">
        <v>120</v>
      </c>
      <c r="B158" s="94" t="s">
        <v>416</v>
      </c>
      <c r="C158" s="94" t="s">
        <v>94</v>
      </c>
      <c r="D158" s="94" t="s">
        <v>86</v>
      </c>
      <c r="E158" s="94" t="s">
        <v>127</v>
      </c>
      <c r="F158" s="97" t="s">
        <v>119</v>
      </c>
      <c r="G158" s="136">
        <v>239.5</v>
      </c>
      <c r="H158" s="170">
        <v>251.5</v>
      </c>
    </row>
    <row r="159" spans="1:8" ht="30">
      <c r="A159" s="96" t="s">
        <v>118</v>
      </c>
      <c r="B159" s="94" t="s">
        <v>416</v>
      </c>
      <c r="C159" s="94" t="s">
        <v>94</v>
      </c>
      <c r="D159" s="94" t="s">
        <v>86</v>
      </c>
      <c r="E159" s="94" t="s">
        <v>127</v>
      </c>
      <c r="F159" s="97" t="s">
        <v>117</v>
      </c>
      <c r="G159" s="136">
        <v>226</v>
      </c>
      <c r="H159" s="169">
        <v>237</v>
      </c>
    </row>
    <row r="160" spans="1:8" ht="30">
      <c r="A160" s="98" t="s">
        <v>129</v>
      </c>
      <c r="B160" s="94" t="s">
        <v>416</v>
      </c>
      <c r="C160" s="94" t="s">
        <v>94</v>
      </c>
      <c r="D160" s="94" t="s">
        <v>86</v>
      </c>
      <c r="E160" s="94" t="s">
        <v>127</v>
      </c>
      <c r="F160" s="97" t="s">
        <v>128</v>
      </c>
      <c r="G160" s="136">
        <v>5</v>
      </c>
      <c r="H160" s="169">
        <v>5</v>
      </c>
    </row>
    <row r="161" spans="1:8" ht="30">
      <c r="A161" s="98" t="s">
        <v>116</v>
      </c>
      <c r="B161" s="94" t="s">
        <v>416</v>
      </c>
      <c r="C161" s="94" t="s">
        <v>94</v>
      </c>
      <c r="D161" s="94" t="s">
        <v>86</v>
      </c>
      <c r="E161" s="94" t="s">
        <v>127</v>
      </c>
      <c r="F161" s="97" t="s">
        <v>114</v>
      </c>
      <c r="G161" s="136">
        <v>11</v>
      </c>
      <c r="H161" s="136">
        <v>11</v>
      </c>
    </row>
    <row r="162" spans="1:8" ht="30">
      <c r="A162" s="96" t="s">
        <v>417</v>
      </c>
      <c r="B162" s="94" t="s">
        <v>416</v>
      </c>
      <c r="C162" s="94" t="s">
        <v>94</v>
      </c>
      <c r="D162" s="94" t="s">
        <v>86</v>
      </c>
      <c r="E162" s="94" t="s">
        <v>415</v>
      </c>
      <c r="F162" s="93"/>
      <c r="G162" s="92">
        <f>G163</f>
        <v>1693.965</v>
      </c>
      <c r="H162" s="92">
        <f>H163</f>
        <v>1778.66325</v>
      </c>
    </row>
    <row r="163" spans="1:8" ht="15">
      <c r="A163" s="98" t="s">
        <v>124</v>
      </c>
      <c r="B163" s="94" t="s">
        <v>416</v>
      </c>
      <c r="C163" s="94" t="s">
        <v>94</v>
      </c>
      <c r="D163" s="94" t="s">
        <v>86</v>
      </c>
      <c r="E163" s="94" t="s">
        <v>415</v>
      </c>
      <c r="F163" s="93" t="s">
        <v>131</v>
      </c>
      <c r="G163" s="92">
        <f>1533*1.105</f>
        <v>1693.965</v>
      </c>
      <c r="H163" s="136">
        <f>G163*1.05</f>
        <v>1778.66325</v>
      </c>
    </row>
    <row r="164" spans="1:8" ht="42.75">
      <c r="A164" s="135" t="s">
        <v>414</v>
      </c>
      <c r="B164" s="110" t="s">
        <v>341</v>
      </c>
      <c r="C164" s="106"/>
      <c r="D164" s="106"/>
      <c r="E164" s="100"/>
      <c r="F164" s="93"/>
      <c r="G164" s="109">
        <f>G165+G170+G186+G231+G235</f>
        <v>102950.5295</v>
      </c>
      <c r="H164" s="109">
        <f>H165+H170+H186+H231+H235</f>
        <v>105324.33097499999</v>
      </c>
    </row>
    <row r="165" spans="1:8" ht="30">
      <c r="A165" s="96" t="s">
        <v>313</v>
      </c>
      <c r="B165" s="94" t="s">
        <v>341</v>
      </c>
      <c r="C165" s="94" t="s">
        <v>78</v>
      </c>
      <c r="D165" s="106"/>
      <c r="E165" s="100"/>
      <c r="F165" s="93"/>
      <c r="G165" s="92">
        <f>G166</f>
        <v>50</v>
      </c>
      <c r="H165" s="92">
        <f>H166</f>
        <v>50</v>
      </c>
    </row>
    <row r="166" spans="1:8" ht="15">
      <c r="A166" s="116" t="s">
        <v>75</v>
      </c>
      <c r="B166" s="94" t="s">
        <v>341</v>
      </c>
      <c r="C166" s="94" t="s">
        <v>78</v>
      </c>
      <c r="D166" s="94" t="s">
        <v>76</v>
      </c>
      <c r="E166" s="94"/>
      <c r="F166" s="93"/>
      <c r="G166" s="92">
        <f>G167</f>
        <v>50</v>
      </c>
      <c r="H166" s="92">
        <f>H167</f>
        <v>50</v>
      </c>
    </row>
    <row r="167" spans="1:8" ht="30">
      <c r="A167" s="96" t="s">
        <v>111</v>
      </c>
      <c r="B167" s="94" t="s">
        <v>341</v>
      </c>
      <c r="C167" s="94" t="s">
        <v>78</v>
      </c>
      <c r="D167" s="94" t="s">
        <v>76</v>
      </c>
      <c r="E167" s="94" t="s">
        <v>110</v>
      </c>
      <c r="F167" s="93"/>
      <c r="G167" s="92">
        <f>G168</f>
        <v>50</v>
      </c>
      <c r="H167" s="92">
        <f>H168</f>
        <v>50</v>
      </c>
    </row>
    <row r="168" spans="1:8" ht="30">
      <c r="A168" s="96" t="s">
        <v>554</v>
      </c>
      <c r="B168" s="94" t="s">
        <v>341</v>
      </c>
      <c r="C168" s="94" t="s">
        <v>78</v>
      </c>
      <c r="D168" s="94" t="s">
        <v>76</v>
      </c>
      <c r="E168" s="117" t="s">
        <v>544</v>
      </c>
      <c r="F168" s="93"/>
      <c r="G168" s="92">
        <f>G169</f>
        <v>50</v>
      </c>
      <c r="H168" s="92">
        <f>H169</f>
        <v>50</v>
      </c>
    </row>
    <row r="169" spans="1:8" ht="30">
      <c r="A169" s="116" t="s">
        <v>118</v>
      </c>
      <c r="B169" s="106" t="s">
        <v>341</v>
      </c>
      <c r="C169" s="94" t="s">
        <v>78</v>
      </c>
      <c r="D169" s="94" t="s">
        <v>76</v>
      </c>
      <c r="E169" s="117" t="s">
        <v>544</v>
      </c>
      <c r="F169" s="93" t="s">
        <v>117</v>
      </c>
      <c r="G169" s="92">
        <v>50</v>
      </c>
      <c r="H169" s="92">
        <v>50</v>
      </c>
    </row>
    <row r="170" spans="1:8" ht="15">
      <c r="A170" s="96" t="s">
        <v>175</v>
      </c>
      <c r="B170" s="94" t="s">
        <v>341</v>
      </c>
      <c r="C170" s="94" t="s">
        <v>72</v>
      </c>
      <c r="D170" s="94"/>
      <c r="E170" s="94"/>
      <c r="F170" s="93"/>
      <c r="G170" s="92">
        <f>G171+G174+G182</f>
        <v>25837.9</v>
      </c>
      <c r="H170" s="92">
        <f>H171+H174+H182</f>
        <v>26809.6</v>
      </c>
    </row>
    <row r="171" spans="1:8" ht="15">
      <c r="A171" s="96" t="s">
        <v>65</v>
      </c>
      <c r="B171" s="94" t="s">
        <v>341</v>
      </c>
      <c r="C171" s="94" t="s">
        <v>72</v>
      </c>
      <c r="D171" s="94" t="s">
        <v>66</v>
      </c>
      <c r="E171" s="94"/>
      <c r="F171" s="93"/>
      <c r="G171" s="92">
        <f>G172</f>
        <v>15887.4</v>
      </c>
      <c r="H171" s="92">
        <f>H172</f>
        <v>16681.7</v>
      </c>
    </row>
    <row r="172" spans="1:8" ht="30">
      <c r="A172" s="116" t="s">
        <v>410</v>
      </c>
      <c r="B172" s="94" t="s">
        <v>341</v>
      </c>
      <c r="C172" s="94" t="s">
        <v>72</v>
      </c>
      <c r="D172" s="94" t="s">
        <v>66</v>
      </c>
      <c r="E172" s="94" t="s">
        <v>409</v>
      </c>
      <c r="F172" s="93"/>
      <c r="G172" s="92">
        <f>G173</f>
        <v>15887.4</v>
      </c>
      <c r="H172" s="92">
        <f>H173</f>
        <v>16681.7</v>
      </c>
    </row>
    <row r="173" spans="1:8" ht="60">
      <c r="A173" s="98" t="s">
        <v>161</v>
      </c>
      <c r="B173" s="94" t="s">
        <v>341</v>
      </c>
      <c r="C173" s="94" t="s">
        <v>72</v>
      </c>
      <c r="D173" s="94" t="s">
        <v>66</v>
      </c>
      <c r="E173" s="94" t="s">
        <v>409</v>
      </c>
      <c r="F173" s="93" t="s">
        <v>159</v>
      </c>
      <c r="G173" s="92">
        <v>15887.4</v>
      </c>
      <c r="H173" s="92">
        <v>16681.7</v>
      </c>
    </row>
    <row r="174" spans="1:8" ht="15">
      <c r="A174" s="116" t="s">
        <v>405</v>
      </c>
      <c r="B174" s="106" t="s">
        <v>341</v>
      </c>
      <c r="C174" s="106" t="s">
        <v>72</v>
      </c>
      <c r="D174" s="106" t="s">
        <v>64</v>
      </c>
      <c r="E174" s="94"/>
      <c r="F174" s="121"/>
      <c r="G174" s="92">
        <f>G177+G175</f>
        <v>9850.5</v>
      </c>
      <c r="H174" s="92">
        <f>H177+H175</f>
        <v>9977.9</v>
      </c>
    </row>
    <row r="175" spans="1:8" ht="15">
      <c r="A175" s="116" t="s">
        <v>404</v>
      </c>
      <c r="B175" s="106" t="s">
        <v>341</v>
      </c>
      <c r="C175" s="106" t="s">
        <v>72</v>
      </c>
      <c r="D175" s="106" t="s">
        <v>64</v>
      </c>
      <c r="E175" s="94" t="s">
        <v>403</v>
      </c>
      <c r="F175" s="121"/>
      <c r="G175" s="92">
        <f>G176</f>
        <v>2550.5</v>
      </c>
      <c r="H175" s="92">
        <f>H176</f>
        <v>2677.9</v>
      </c>
    </row>
    <row r="176" spans="1:8" ht="60">
      <c r="A176" s="116" t="s">
        <v>356</v>
      </c>
      <c r="B176" s="106" t="s">
        <v>341</v>
      </c>
      <c r="C176" s="106" t="s">
        <v>72</v>
      </c>
      <c r="D176" s="106" t="s">
        <v>64</v>
      </c>
      <c r="E176" s="94" t="s">
        <v>403</v>
      </c>
      <c r="F176" s="121" t="s">
        <v>144</v>
      </c>
      <c r="G176" s="92">
        <v>2550.5</v>
      </c>
      <c r="H176" s="92">
        <v>2677.9</v>
      </c>
    </row>
    <row r="177" spans="1:8" ht="30">
      <c r="A177" s="96" t="s">
        <v>111</v>
      </c>
      <c r="B177" s="94" t="s">
        <v>341</v>
      </c>
      <c r="C177" s="106" t="s">
        <v>72</v>
      </c>
      <c r="D177" s="106" t="s">
        <v>64</v>
      </c>
      <c r="E177" s="94" t="s">
        <v>110</v>
      </c>
      <c r="F177" s="93"/>
      <c r="G177" s="92">
        <f>G178+G180</f>
        <v>7300</v>
      </c>
      <c r="H177" s="92">
        <f>H178+H180</f>
        <v>7300</v>
      </c>
    </row>
    <row r="178" spans="1:8" ht="30">
      <c r="A178" s="96" t="s">
        <v>402</v>
      </c>
      <c r="B178" s="94" t="s">
        <v>341</v>
      </c>
      <c r="C178" s="106" t="s">
        <v>72</v>
      </c>
      <c r="D178" s="106" t="s">
        <v>64</v>
      </c>
      <c r="E178" s="94" t="s">
        <v>401</v>
      </c>
      <c r="F178" s="93"/>
      <c r="G178" s="92">
        <f>G179</f>
        <v>7000</v>
      </c>
      <c r="H178" s="92">
        <f>H179</f>
        <v>7000</v>
      </c>
    </row>
    <row r="179" spans="1:8" ht="30">
      <c r="A179" s="116" t="s">
        <v>118</v>
      </c>
      <c r="B179" s="94" t="s">
        <v>341</v>
      </c>
      <c r="C179" s="106" t="s">
        <v>72</v>
      </c>
      <c r="D179" s="106" t="s">
        <v>64</v>
      </c>
      <c r="E179" s="94" t="s">
        <v>401</v>
      </c>
      <c r="F179" s="93" t="s">
        <v>117</v>
      </c>
      <c r="G179" s="92">
        <v>7000</v>
      </c>
      <c r="H179" s="92">
        <v>7000</v>
      </c>
    </row>
    <row r="180" spans="1:8" ht="34.5" customHeight="1">
      <c r="A180" s="96" t="s">
        <v>400</v>
      </c>
      <c r="B180" s="94" t="s">
        <v>341</v>
      </c>
      <c r="C180" s="106" t="s">
        <v>72</v>
      </c>
      <c r="D180" s="106" t="s">
        <v>64</v>
      </c>
      <c r="E180" s="94" t="s">
        <v>399</v>
      </c>
      <c r="F180" s="93"/>
      <c r="G180" s="92">
        <f>G181</f>
        <v>300</v>
      </c>
      <c r="H180" s="92">
        <f>H181</f>
        <v>300</v>
      </c>
    </row>
    <row r="181" spans="1:8" ht="30">
      <c r="A181" s="116" t="s">
        <v>118</v>
      </c>
      <c r="B181" s="94" t="s">
        <v>341</v>
      </c>
      <c r="C181" s="106" t="s">
        <v>72</v>
      </c>
      <c r="D181" s="106" t="s">
        <v>64</v>
      </c>
      <c r="E181" s="94" t="s">
        <v>399</v>
      </c>
      <c r="F181" s="93" t="s">
        <v>117</v>
      </c>
      <c r="G181" s="92">
        <v>300</v>
      </c>
      <c r="H181" s="92">
        <v>300</v>
      </c>
    </row>
    <row r="182" spans="1:8" ht="30">
      <c r="A182" s="96" t="s">
        <v>61</v>
      </c>
      <c r="B182" s="94" t="s">
        <v>341</v>
      </c>
      <c r="C182" s="106" t="s">
        <v>72</v>
      </c>
      <c r="D182" s="106" t="s">
        <v>62</v>
      </c>
      <c r="E182" s="94"/>
      <c r="F182" s="93"/>
      <c r="G182" s="92">
        <f>G183</f>
        <v>100</v>
      </c>
      <c r="H182" s="92">
        <f>H183</f>
        <v>150</v>
      </c>
    </row>
    <row r="183" spans="1:8" ht="30">
      <c r="A183" s="96" t="s">
        <v>111</v>
      </c>
      <c r="B183" s="94" t="s">
        <v>341</v>
      </c>
      <c r="C183" s="106" t="s">
        <v>72</v>
      </c>
      <c r="D183" s="106" t="s">
        <v>62</v>
      </c>
      <c r="E183" s="100" t="s">
        <v>110</v>
      </c>
      <c r="F183" s="93"/>
      <c r="G183" s="92">
        <f>G184</f>
        <v>100</v>
      </c>
      <c r="H183" s="92">
        <f>H184</f>
        <v>150</v>
      </c>
    </row>
    <row r="184" spans="1:8" ht="60">
      <c r="A184" s="96" t="s">
        <v>235</v>
      </c>
      <c r="B184" s="106" t="s">
        <v>341</v>
      </c>
      <c r="C184" s="94" t="s">
        <v>72</v>
      </c>
      <c r="D184" s="94" t="s">
        <v>62</v>
      </c>
      <c r="E184" s="117" t="s">
        <v>135</v>
      </c>
      <c r="F184" s="93"/>
      <c r="G184" s="92">
        <f>G185</f>
        <v>100</v>
      </c>
      <c r="H184" s="92">
        <f>H185</f>
        <v>150</v>
      </c>
    </row>
    <row r="185" spans="1:8" ht="30">
      <c r="A185" s="116" t="s">
        <v>118</v>
      </c>
      <c r="B185" s="106" t="s">
        <v>341</v>
      </c>
      <c r="C185" s="94" t="s">
        <v>72</v>
      </c>
      <c r="D185" s="94" t="s">
        <v>62</v>
      </c>
      <c r="E185" s="117" t="s">
        <v>135</v>
      </c>
      <c r="F185" s="93" t="s">
        <v>117</v>
      </c>
      <c r="G185" s="92">
        <v>100</v>
      </c>
      <c r="H185" s="92">
        <v>150</v>
      </c>
    </row>
    <row r="186" spans="1:8" ht="15">
      <c r="A186" s="96" t="s">
        <v>334</v>
      </c>
      <c r="B186" s="94" t="s">
        <v>341</v>
      </c>
      <c r="C186" s="94" t="s">
        <v>60</v>
      </c>
      <c r="D186" s="94"/>
      <c r="E186" s="94"/>
      <c r="F186" s="93"/>
      <c r="G186" s="92">
        <f>G187+G200+G216+G197</f>
        <v>69304.1295</v>
      </c>
      <c r="H186" s="92">
        <f>H187+H200+H216+H197</f>
        <v>70850.830975</v>
      </c>
    </row>
    <row r="187" spans="1:8" ht="15">
      <c r="A187" s="96" t="s">
        <v>57</v>
      </c>
      <c r="B187" s="94" t="s">
        <v>341</v>
      </c>
      <c r="C187" s="94" t="s">
        <v>60</v>
      </c>
      <c r="D187" s="94" t="s">
        <v>58</v>
      </c>
      <c r="E187" s="94"/>
      <c r="F187" s="93"/>
      <c r="G187" s="92">
        <f>G188+G191+G194</f>
        <v>261</v>
      </c>
      <c r="H187" s="92">
        <f>H188+H191+H194</f>
        <v>261</v>
      </c>
    </row>
    <row r="188" spans="1:8" ht="15">
      <c r="A188" s="96" t="s">
        <v>396</v>
      </c>
      <c r="B188" s="94" t="s">
        <v>341</v>
      </c>
      <c r="C188" s="94" t="s">
        <v>60</v>
      </c>
      <c r="D188" s="94" t="s">
        <v>58</v>
      </c>
      <c r="E188" s="94" t="s">
        <v>395</v>
      </c>
      <c r="F188" s="93"/>
      <c r="G188" s="92">
        <f>G189</f>
        <v>11</v>
      </c>
      <c r="H188" s="92">
        <f>H189</f>
        <v>11</v>
      </c>
    </row>
    <row r="189" spans="1:8" ht="30">
      <c r="A189" s="96" t="s">
        <v>394</v>
      </c>
      <c r="B189" s="94" t="s">
        <v>341</v>
      </c>
      <c r="C189" s="94" t="s">
        <v>60</v>
      </c>
      <c r="D189" s="94" t="s">
        <v>58</v>
      </c>
      <c r="E189" s="94" t="s">
        <v>393</v>
      </c>
      <c r="F189" s="93"/>
      <c r="G189" s="92">
        <f>G190</f>
        <v>11</v>
      </c>
      <c r="H189" s="92">
        <f>H190</f>
        <v>11</v>
      </c>
    </row>
    <row r="190" spans="1:8" ht="30">
      <c r="A190" s="116" t="s">
        <v>118</v>
      </c>
      <c r="B190" s="94" t="s">
        <v>341</v>
      </c>
      <c r="C190" s="94" t="s">
        <v>60</v>
      </c>
      <c r="D190" s="94" t="s">
        <v>58</v>
      </c>
      <c r="E190" s="94" t="s">
        <v>393</v>
      </c>
      <c r="F190" s="93" t="s">
        <v>117</v>
      </c>
      <c r="G190" s="92">
        <v>11</v>
      </c>
      <c r="H190" s="92">
        <v>11</v>
      </c>
    </row>
    <row r="191" spans="1:8" ht="30">
      <c r="A191" s="96" t="s">
        <v>111</v>
      </c>
      <c r="B191" s="94" t="s">
        <v>341</v>
      </c>
      <c r="C191" s="94" t="s">
        <v>60</v>
      </c>
      <c r="D191" s="94" t="s">
        <v>58</v>
      </c>
      <c r="E191" s="94" t="s">
        <v>110</v>
      </c>
      <c r="F191" s="93"/>
      <c r="G191" s="92">
        <f>G192</f>
        <v>150</v>
      </c>
      <c r="H191" s="92">
        <f>H192</f>
        <v>150</v>
      </c>
    </row>
    <row r="192" spans="1:8" ht="45">
      <c r="A192" s="96" t="s">
        <v>392</v>
      </c>
      <c r="B192" s="94" t="s">
        <v>341</v>
      </c>
      <c r="C192" s="94" t="s">
        <v>60</v>
      </c>
      <c r="D192" s="94" t="s">
        <v>58</v>
      </c>
      <c r="E192" s="94" t="s">
        <v>391</v>
      </c>
      <c r="F192" s="93"/>
      <c r="G192" s="92">
        <f>G193</f>
        <v>150</v>
      </c>
      <c r="H192" s="92">
        <f>H193</f>
        <v>150</v>
      </c>
    </row>
    <row r="193" spans="1:8" ht="30">
      <c r="A193" s="116" t="s">
        <v>118</v>
      </c>
      <c r="B193" s="94" t="s">
        <v>341</v>
      </c>
      <c r="C193" s="94" t="s">
        <v>60</v>
      </c>
      <c r="D193" s="94" t="s">
        <v>58</v>
      </c>
      <c r="E193" s="94" t="s">
        <v>391</v>
      </c>
      <c r="F193" s="93" t="s">
        <v>117</v>
      </c>
      <c r="G193" s="92">
        <v>150</v>
      </c>
      <c r="H193" s="92">
        <v>150</v>
      </c>
    </row>
    <row r="194" spans="1:8" ht="30">
      <c r="A194" s="96" t="s">
        <v>390</v>
      </c>
      <c r="B194" s="94" t="s">
        <v>341</v>
      </c>
      <c r="C194" s="94" t="s">
        <v>60</v>
      </c>
      <c r="D194" s="94" t="s">
        <v>58</v>
      </c>
      <c r="E194" s="94" t="s">
        <v>389</v>
      </c>
      <c r="F194" s="93"/>
      <c r="G194" s="92">
        <f>G195</f>
        <v>100</v>
      </c>
      <c r="H194" s="92">
        <f>H195</f>
        <v>100</v>
      </c>
    </row>
    <row r="195" spans="1:8" ht="45">
      <c r="A195" s="133" t="s">
        <v>388</v>
      </c>
      <c r="B195" s="132" t="s">
        <v>341</v>
      </c>
      <c r="C195" s="132" t="s">
        <v>60</v>
      </c>
      <c r="D195" s="132" t="s">
        <v>58</v>
      </c>
      <c r="E195" s="132" t="s">
        <v>387</v>
      </c>
      <c r="F195" s="131"/>
      <c r="G195" s="130">
        <f>G196</f>
        <v>100</v>
      </c>
      <c r="H195" s="130">
        <f>H196</f>
        <v>100</v>
      </c>
    </row>
    <row r="196" spans="1:8" ht="30">
      <c r="A196" s="116" t="s">
        <v>118</v>
      </c>
      <c r="B196" s="132" t="s">
        <v>341</v>
      </c>
      <c r="C196" s="132" t="s">
        <v>60</v>
      </c>
      <c r="D196" s="132" t="s">
        <v>58</v>
      </c>
      <c r="E196" s="132" t="s">
        <v>387</v>
      </c>
      <c r="F196" s="131" t="s">
        <v>117</v>
      </c>
      <c r="G196" s="130">
        <v>100</v>
      </c>
      <c r="H196" s="130">
        <v>100</v>
      </c>
    </row>
    <row r="197" spans="1:8" ht="15">
      <c r="A197" s="116" t="s">
        <v>55</v>
      </c>
      <c r="B197" s="94" t="s">
        <v>341</v>
      </c>
      <c r="C197" s="94" t="s">
        <v>60</v>
      </c>
      <c r="D197" s="94" t="s">
        <v>56</v>
      </c>
      <c r="E197" s="94"/>
      <c r="F197" s="93"/>
      <c r="G197" s="92">
        <f>G198</f>
        <v>2769.4</v>
      </c>
      <c r="H197" s="92">
        <f>H198</f>
        <v>2907.8</v>
      </c>
    </row>
    <row r="198" spans="1:8" ht="45">
      <c r="A198" s="116" t="s">
        <v>385</v>
      </c>
      <c r="B198" s="94" t="s">
        <v>341</v>
      </c>
      <c r="C198" s="94" t="s">
        <v>60</v>
      </c>
      <c r="D198" s="94" t="s">
        <v>56</v>
      </c>
      <c r="E198" s="94" t="s">
        <v>384</v>
      </c>
      <c r="F198" s="93"/>
      <c r="G198" s="92">
        <f>G199</f>
        <v>2769.4</v>
      </c>
      <c r="H198" s="92">
        <f>H199</f>
        <v>2907.8</v>
      </c>
    </row>
    <row r="199" spans="1:8" ht="45">
      <c r="A199" s="116" t="s">
        <v>380</v>
      </c>
      <c r="B199" s="94" t="s">
        <v>341</v>
      </c>
      <c r="C199" s="94" t="s">
        <v>60</v>
      </c>
      <c r="D199" s="94" t="s">
        <v>56</v>
      </c>
      <c r="E199" s="94" t="s">
        <v>384</v>
      </c>
      <c r="F199" s="93" t="s">
        <v>349</v>
      </c>
      <c r="G199" s="92">
        <v>2769.4</v>
      </c>
      <c r="H199" s="92">
        <v>2907.8</v>
      </c>
    </row>
    <row r="200" spans="1:8" ht="15">
      <c r="A200" s="96" t="s">
        <v>53</v>
      </c>
      <c r="B200" s="94" t="s">
        <v>341</v>
      </c>
      <c r="C200" s="94" t="s">
        <v>60</v>
      </c>
      <c r="D200" s="94" t="s">
        <v>54</v>
      </c>
      <c r="E200" s="94"/>
      <c r="F200" s="93"/>
      <c r="G200" s="92">
        <f>G201+G213</f>
        <v>45821.6</v>
      </c>
      <c r="H200" s="92">
        <f>H201+H213</f>
        <v>47619.899999999994</v>
      </c>
    </row>
    <row r="201" spans="1:8" ht="30">
      <c r="A201" s="96" t="s">
        <v>333</v>
      </c>
      <c r="B201" s="94" t="s">
        <v>341</v>
      </c>
      <c r="C201" s="94" t="s">
        <v>60</v>
      </c>
      <c r="D201" s="94" t="s">
        <v>54</v>
      </c>
      <c r="E201" s="94" t="s">
        <v>332</v>
      </c>
      <c r="F201" s="93"/>
      <c r="G201" s="92">
        <f>G202+G206+G208+G210</f>
        <v>43821.6</v>
      </c>
      <c r="H201" s="92">
        <f>H202+H206+H208+H210</f>
        <v>45619.899999999994</v>
      </c>
    </row>
    <row r="202" spans="1:8" ht="15">
      <c r="A202" s="96" t="s">
        <v>378</v>
      </c>
      <c r="B202" s="94" t="s">
        <v>341</v>
      </c>
      <c r="C202" s="94" t="s">
        <v>60</v>
      </c>
      <c r="D202" s="94" t="s">
        <v>54</v>
      </c>
      <c r="E202" s="94" t="s">
        <v>377</v>
      </c>
      <c r="F202" s="93"/>
      <c r="G202" s="92">
        <f>G203+G205+G204</f>
        <v>11221.6</v>
      </c>
      <c r="H202" s="92">
        <f>H203+H205+H204</f>
        <v>12189.9</v>
      </c>
    </row>
    <row r="203" spans="1:8" ht="30">
      <c r="A203" s="116" t="s">
        <v>118</v>
      </c>
      <c r="B203" s="94" t="s">
        <v>341</v>
      </c>
      <c r="C203" s="94" t="s">
        <v>60</v>
      </c>
      <c r="D203" s="94" t="s">
        <v>54</v>
      </c>
      <c r="E203" s="94" t="s">
        <v>377</v>
      </c>
      <c r="F203" s="93" t="s">
        <v>117</v>
      </c>
      <c r="G203" s="92">
        <v>6185.5</v>
      </c>
      <c r="H203" s="92">
        <v>6901.9</v>
      </c>
    </row>
    <row r="204" spans="1:8" ht="60">
      <c r="A204" s="116" t="s">
        <v>356</v>
      </c>
      <c r="B204" s="94" t="s">
        <v>341</v>
      </c>
      <c r="C204" s="94" t="s">
        <v>60</v>
      </c>
      <c r="D204" s="94" t="s">
        <v>54</v>
      </c>
      <c r="E204" s="94" t="s">
        <v>377</v>
      </c>
      <c r="F204" s="93" t="s">
        <v>144</v>
      </c>
      <c r="G204" s="92">
        <v>816.2</v>
      </c>
      <c r="H204" s="92">
        <v>857</v>
      </c>
    </row>
    <row r="205" spans="1:8" ht="45">
      <c r="A205" s="116" t="s">
        <v>351</v>
      </c>
      <c r="B205" s="94" t="s">
        <v>341</v>
      </c>
      <c r="C205" s="94" t="s">
        <v>60</v>
      </c>
      <c r="D205" s="94" t="s">
        <v>54</v>
      </c>
      <c r="E205" s="94" t="s">
        <v>377</v>
      </c>
      <c r="F205" s="93" t="s">
        <v>349</v>
      </c>
      <c r="G205" s="92">
        <v>4219.9</v>
      </c>
      <c r="H205" s="92">
        <v>4431</v>
      </c>
    </row>
    <row r="206" spans="1:8" ht="15">
      <c r="A206" s="96" t="s">
        <v>376</v>
      </c>
      <c r="B206" s="94" t="s">
        <v>341</v>
      </c>
      <c r="C206" s="94" t="s">
        <v>60</v>
      </c>
      <c r="D206" s="94" t="s">
        <v>54</v>
      </c>
      <c r="E206" s="94" t="s">
        <v>375</v>
      </c>
      <c r="F206" s="93"/>
      <c r="G206" s="92">
        <f>G207</f>
        <v>2715.4</v>
      </c>
      <c r="H206" s="92">
        <f>H207</f>
        <v>2901.2</v>
      </c>
    </row>
    <row r="207" spans="1:8" ht="60">
      <c r="A207" s="116" t="s">
        <v>356</v>
      </c>
      <c r="B207" s="94" t="s">
        <v>341</v>
      </c>
      <c r="C207" s="94" t="s">
        <v>60</v>
      </c>
      <c r="D207" s="94" t="s">
        <v>54</v>
      </c>
      <c r="E207" s="94" t="s">
        <v>375</v>
      </c>
      <c r="F207" s="93" t="s">
        <v>144</v>
      </c>
      <c r="G207" s="92">
        <v>2715.4</v>
      </c>
      <c r="H207" s="92">
        <v>2901.2</v>
      </c>
    </row>
    <row r="208" spans="1:8" ht="15">
      <c r="A208" s="96" t="s">
        <v>553</v>
      </c>
      <c r="B208" s="94" t="s">
        <v>341</v>
      </c>
      <c r="C208" s="94" t="s">
        <v>60</v>
      </c>
      <c r="D208" s="94" t="s">
        <v>54</v>
      </c>
      <c r="E208" s="94" t="s">
        <v>552</v>
      </c>
      <c r="F208" s="93"/>
      <c r="G208" s="92">
        <f>G209</f>
        <v>2862.8</v>
      </c>
      <c r="H208" s="92">
        <f>H209</f>
        <v>3005.9</v>
      </c>
    </row>
    <row r="209" spans="1:8" ht="60">
      <c r="A209" s="116" t="s">
        <v>356</v>
      </c>
      <c r="B209" s="94" t="s">
        <v>341</v>
      </c>
      <c r="C209" s="94" t="s">
        <v>60</v>
      </c>
      <c r="D209" s="94" t="s">
        <v>54</v>
      </c>
      <c r="E209" s="94" t="s">
        <v>552</v>
      </c>
      <c r="F209" s="93" t="s">
        <v>144</v>
      </c>
      <c r="G209" s="92">
        <v>2862.8</v>
      </c>
      <c r="H209" s="92">
        <v>3005.9</v>
      </c>
    </row>
    <row r="210" spans="1:8" ht="30">
      <c r="A210" s="99" t="s">
        <v>331</v>
      </c>
      <c r="B210" s="94" t="s">
        <v>341</v>
      </c>
      <c r="C210" s="94" t="s">
        <v>60</v>
      </c>
      <c r="D210" s="94" t="s">
        <v>54</v>
      </c>
      <c r="E210" s="94" t="s">
        <v>329</v>
      </c>
      <c r="F210" s="93"/>
      <c r="G210" s="92">
        <f>G212+G211</f>
        <v>27021.8</v>
      </c>
      <c r="H210" s="92">
        <f>H212+H211</f>
        <v>27522.899999999998</v>
      </c>
    </row>
    <row r="211" spans="1:8" ht="30">
      <c r="A211" s="116" t="s">
        <v>118</v>
      </c>
      <c r="B211" s="94" t="s">
        <v>341</v>
      </c>
      <c r="C211" s="94" t="s">
        <v>60</v>
      </c>
      <c r="D211" s="94" t="s">
        <v>54</v>
      </c>
      <c r="E211" s="94" t="s">
        <v>329</v>
      </c>
      <c r="F211" s="93" t="s">
        <v>117</v>
      </c>
      <c r="G211" s="92">
        <v>110.8</v>
      </c>
      <c r="H211" s="92">
        <v>116.3</v>
      </c>
    </row>
    <row r="212" spans="1:8" ht="60">
      <c r="A212" s="116" t="s">
        <v>356</v>
      </c>
      <c r="B212" s="94" t="s">
        <v>341</v>
      </c>
      <c r="C212" s="94" t="s">
        <v>60</v>
      </c>
      <c r="D212" s="94" t="s">
        <v>54</v>
      </c>
      <c r="E212" s="94" t="s">
        <v>329</v>
      </c>
      <c r="F212" s="93" t="s">
        <v>144</v>
      </c>
      <c r="G212" s="92">
        <v>26911</v>
      </c>
      <c r="H212" s="92">
        <v>27406.6</v>
      </c>
    </row>
    <row r="213" spans="1:8" ht="30">
      <c r="A213" s="96" t="s">
        <v>111</v>
      </c>
      <c r="B213" s="94" t="s">
        <v>341</v>
      </c>
      <c r="C213" s="94" t="s">
        <v>60</v>
      </c>
      <c r="D213" s="94" t="s">
        <v>54</v>
      </c>
      <c r="E213" s="94" t="s">
        <v>110</v>
      </c>
      <c r="F213" s="93"/>
      <c r="G213" s="92">
        <f>G214</f>
        <v>2000</v>
      </c>
      <c r="H213" s="92">
        <f>H214</f>
        <v>2000</v>
      </c>
    </row>
    <row r="214" spans="1:8" ht="30">
      <c r="A214" s="96" t="s">
        <v>372</v>
      </c>
      <c r="B214" s="94" t="s">
        <v>341</v>
      </c>
      <c r="C214" s="94" t="s">
        <v>60</v>
      </c>
      <c r="D214" s="94" t="s">
        <v>54</v>
      </c>
      <c r="E214" s="94" t="s">
        <v>371</v>
      </c>
      <c r="F214" s="93"/>
      <c r="G214" s="92">
        <f>G215</f>
        <v>2000</v>
      </c>
      <c r="H214" s="92">
        <f>H215</f>
        <v>2000</v>
      </c>
    </row>
    <row r="215" spans="1:8" ht="30">
      <c r="A215" s="116" t="s">
        <v>118</v>
      </c>
      <c r="B215" s="94" t="s">
        <v>341</v>
      </c>
      <c r="C215" s="94" t="s">
        <v>60</v>
      </c>
      <c r="D215" s="94" t="s">
        <v>54</v>
      </c>
      <c r="E215" s="94" t="s">
        <v>371</v>
      </c>
      <c r="F215" s="93" t="s">
        <v>117</v>
      </c>
      <c r="G215" s="92">
        <v>2000</v>
      </c>
      <c r="H215" s="92">
        <v>2000</v>
      </c>
    </row>
    <row r="216" spans="1:8" ht="30">
      <c r="A216" s="96" t="s">
        <v>368</v>
      </c>
      <c r="B216" s="94" t="s">
        <v>341</v>
      </c>
      <c r="C216" s="94" t="s">
        <v>60</v>
      </c>
      <c r="D216" s="94" t="s">
        <v>52</v>
      </c>
      <c r="E216" s="94"/>
      <c r="F216" s="93"/>
      <c r="G216" s="92">
        <f>G225+G217</f>
        <v>20452.1295</v>
      </c>
      <c r="H216" s="92">
        <f>H225+H217</f>
        <v>20062.130975</v>
      </c>
    </row>
    <row r="217" spans="1:8" ht="45">
      <c r="A217" s="99" t="s">
        <v>134</v>
      </c>
      <c r="B217" s="94" t="s">
        <v>341</v>
      </c>
      <c r="C217" s="94" t="s">
        <v>60</v>
      </c>
      <c r="D217" s="94" t="s">
        <v>52</v>
      </c>
      <c r="E217" s="94" t="s">
        <v>133</v>
      </c>
      <c r="F217" s="93"/>
      <c r="G217" s="92">
        <f>G218</f>
        <v>11902.1295</v>
      </c>
      <c r="H217" s="92">
        <f>H218</f>
        <v>12512.130974999998</v>
      </c>
    </row>
    <row r="218" spans="1:8" ht="15">
      <c r="A218" s="99" t="s">
        <v>132</v>
      </c>
      <c r="B218" s="94" t="s">
        <v>341</v>
      </c>
      <c r="C218" s="94" t="s">
        <v>60</v>
      </c>
      <c r="D218" s="94" t="s">
        <v>52</v>
      </c>
      <c r="E218" s="94" t="s">
        <v>127</v>
      </c>
      <c r="F218" s="93"/>
      <c r="G218" s="92">
        <f>G219+G220+G221+G222+G223+G224</f>
        <v>11902.1295</v>
      </c>
      <c r="H218" s="92">
        <f>H219+H220+H221+H222+H223+H224</f>
        <v>12512.130974999998</v>
      </c>
    </row>
    <row r="219" spans="1:8" ht="15">
      <c r="A219" s="98" t="s">
        <v>124</v>
      </c>
      <c r="B219" s="94" t="s">
        <v>341</v>
      </c>
      <c r="C219" s="94" t="s">
        <v>60</v>
      </c>
      <c r="D219" s="94" t="s">
        <v>52</v>
      </c>
      <c r="E219" s="94" t="s">
        <v>127</v>
      </c>
      <c r="F219" s="97" t="s">
        <v>131</v>
      </c>
      <c r="G219" s="92">
        <f>8667.9*1.105</f>
        <v>9578.029499999999</v>
      </c>
      <c r="H219" s="92">
        <f>G219*1.05</f>
        <v>10056.930975</v>
      </c>
    </row>
    <row r="220" spans="1:8" ht="30">
      <c r="A220" s="98" t="s">
        <v>122</v>
      </c>
      <c r="B220" s="94" t="s">
        <v>341</v>
      </c>
      <c r="C220" s="94" t="s">
        <v>60</v>
      </c>
      <c r="D220" s="94" t="s">
        <v>52</v>
      </c>
      <c r="E220" s="94" t="s">
        <v>127</v>
      </c>
      <c r="F220" s="97" t="s">
        <v>130</v>
      </c>
      <c r="G220" s="92">
        <v>4.8</v>
      </c>
      <c r="H220" s="92">
        <v>4.8</v>
      </c>
    </row>
    <row r="221" spans="1:8" ht="30">
      <c r="A221" s="98" t="s">
        <v>120</v>
      </c>
      <c r="B221" s="94" t="s">
        <v>341</v>
      </c>
      <c r="C221" s="94" t="s">
        <v>60</v>
      </c>
      <c r="D221" s="94" t="s">
        <v>52</v>
      </c>
      <c r="E221" s="94" t="s">
        <v>127</v>
      </c>
      <c r="F221" s="97" t="s">
        <v>119</v>
      </c>
      <c r="G221" s="92">
        <v>407.7</v>
      </c>
      <c r="H221" s="92">
        <v>428.1</v>
      </c>
    </row>
    <row r="222" spans="1:8" ht="30">
      <c r="A222" s="116" t="s">
        <v>118</v>
      </c>
      <c r="B222" s="94" t="s">
        <v>341</v>
      </c>
      <c r="C222" s="94" t="s">
        <v>60</v>
      </c>
      <c r="D222" s="94" t="s">
        <v>52</v>
      </c>
      <c r="E222" s="94" t="s">
        <v>127</v>
      </c>
      <c r="F222" s="97" t="s">
        <v>117</v>
      </c>
      <c r="G222" s="92">
        <v>1461.6</v>
      </c>
      <c r="H222" s="92">
        <v>1572.3</v>
      </c>
    </row>
    <row r="223" spans="1:8" ht="30">
      <c r="A223" s="98" t="s">
        <v>129</v>
      </c>
      <c r="B223" s="94" t="s">
        <v>341</v>
      </c>
      <c r="C223" s="94" t="s">
        <v>60</v>
      </c>
      <c r="D223" s="94" t="s">
        <v>52</v>
      </c>
      <c r="E223" s="94" t="s">
        <v>127</v>
      </c>
      <c r="F223" s="97" t="s">
        <v>128</v>
      </c>
      <c r="G223" s="92">
        <v>400</v>
      </c>
      <c r="H223" s="92">
        <v>400</v>
      </c>
    </row>
    <row r="224" spans="1:8" ht="30">
      <c r="A224" s="98" t="s">
        <v>116</v>
      </c>
      <c r="B224" s="94" t="s">
        <v>341</v>
      </c>
      <c r="C224" s="94" t="s">
        <v>60</v>
      </c>
      <c r="D224" s="94" t="s">
        <v>52</v>
      </c>
      <c r="E224" s="94" t="s">
        <v>127</v>
      </c>
      <c r="F224" s="97" t="s">
        <v>114</v>
      </c>
      <c r="G224" s="92">
        <v>50</v>
      </c>
      <c r="H224" s="92">
        <v>50</v>
      </c>
    </row>
    <row r="225" spans="1:8" ht="30">
      <c r="A225" s="96" t="s">
        <v>308</v>
      </c>
      <c r="B225" s="94" t="s">
        <v>341</v>
      </c>
      <c r="C225" s="94" t="s">
        <v>60</v>
      </c>
      <c r="D225" s="94" t="s">
        <v>52</v>
      </c>
      <c r="E225" s="94" t="s">
        <v>110</v>
      </c>
      <c r="F225" s="93"/>
      <c r="G225" s="92">
        <f>G226+G229</f>
        <v>8550</v>
      </c>
      <c r="H225" s="92">
        <f>H226+H229</f>
        <v>7550</v>
      </c>
    </row>
    <row r="226" spans="1:8" ht="45">
      <c r="A226" s="96" t="s">
        <v>551</v>
      </c>
      <c r="B226" s="94" t="s">
        <v>341</v>
      </c>
      <c r="C226" s="94" t="s">
        <v>60</v>
      </c>
      <c r="D226" s="94" t="s">
        <v>52</v>
      </c>
      <c r="E226" s="94" t="s">
        <v>362</v>
      </c>
      <c r="F226" s="93"/>
      <c r="G226" s="92">
        <f>G227+G228</f>
        <v>8500</v>
      </c>
      <c r="H226" s="92">
        <f>H227+H228</f>
        <v>7500</v>
      </c>
    </row>
    <row r="227" spans="1:8" ht="30">
      <c r="A227" s="116" t="s">
        <v>118</v>
      </c>
      <c r="B227" s="94" t="s">
        <v>341</v>
      </c>
      <c r="C227" s="94" t="s">
        <v>60</v>
      </c>
      <c r="D227" s="94" t="s">
        <v>52</v>
      </c>
      <c r="E227" s="94" t="s">
        <v>362</v>
      </c>
      <c r="F227" s="93" t="s">
        <v>117</v>
      </c>
      <c r="G227" s="92">
        <v>2000</v>
      </c>
      <c r="H227" s="92">
        <v>1500</v>
      </c>
    </row>
    <row r="228" spans="1:8" ht="45">
      <c r="A228" s="116" t="s">
        <v>351</v>
      </c>
      <c r="B228" s="94" t="s">
        <v>341</v>
      </c>
      <c r="C228" s="94" t="s">
        <v>60</v>
      </c>
      <c r="D228" s="94" t="s">
        <v>52</v>
      </c>
      <c r="E228" s="94" t="s">
        <v>362</v>
      </c>
      <c r="F228" s="93" t="s">
        <v>349</v>
      </c>
      <c r="G228" s="92">
        <v>6500</v>
      </c>
      <c r="H228" s="92">
        <v>6000</v>
      </c>
    </row>
    <row r="229" spans="1:8" ht="15">
      <c r="A229" s="96" t="s">
        <v>550</v>
      </c>
      <c r="B229" s="94" t="s">
        <v>341</v>
      </c>
      <c r="C229" s="94" t="s">
        <v>60</v>
      </c>
      <c r="D229" s="94" t="s">
        <v>52</v>
      </c>
      <c r="E229" s="94" t="s">
        <v>549</v>
      </c>
      <c r="F229" s="93"/>
      <c r="G229" s="92">
        <f>G230</f>
        <v>50</v>
      </c>
      <c r="H229" s="92">
        <f>H230</f>
        <v>50</v>
      </c>
    </row>
    <row r="230" spans="1:8" ht="30">
      <c r="A230" s="116" t="s">
        <v>118</v>
      </c>
      <c r="B230" s="94" t="s">
        <v>341</v>
      </c>
      <c r="C230" s="94" t="s">
        <v>60</v>
      </c>
      <c r="D230" s="94" t="s">
        <v>52</v>
      </c>
      <c r="E230" s="94" t="s">
        <v>549</v>
      </c>
      <c r="F230" s="93" t="s">
        <v>117</v>
      </c>
      <c r="G230" s="92">
        <v>50</v>
      </c>
      <c r="H230" s="92">
        <v>50</v>
      </c>
    </row>
    <row r="231" spans="1:8" ht="15">
      <c r="A231" s="96" t="s">
        <v>359</v>
      </c>
      <c r="B231" s="94" t="s">
        <v>341</v>
      </c>
      <c r="C231" s="94" t="s">
        <v>50</v>
      </c>
      <c r="D231" s="94"/>
      <c r="E231" s="94"/>
      <c r="F231" s="93"/>
      <c r="G231" s="92">
        <f>G232</f>
        <v>157.5</v>
      </c>
      <c r="H231" s="92">
        <f>H232</f>
        <v>165.4</v>
      </c>
    </row>
    <row r="232" spans="1:8" ht="15">
      <c r="A232" s="96" t="s">
        <v>358</v>
      </c>
      <c r="B232" s="94" t="s">
        <v>341</v>
      </c>
      <c r="C232" s="94" t="s">
        <v>50</v>
      </c>
      <c r="D232" s="94" t="s">
        <v>48</v>
      </c>
      <c r="E232" s="94"/>
      <c r="F232" s="93"/>
      <c r="G232" s="92">
        <f>G233</f>
        <v>157.5</v>
      </c>
      <c r="H232" s="92">
        <f>H233</f>
        <v>165.4</v>
      </c>
    </row>
    <row r="233" spans="1:8" ht="15">
      <c r="A233" s="96" t="s">
        <v>357</v>
      </c>
      <c r="B233" s="94" t="s">
        <v>341</v>
      </c>
      <c r="C233" s="94" t="s">
        <v>50</v>
      </c>
      <c r="D233" s="94" t="s">
        <v>48</v>
      </c>
      <c r="E233" s="94" t="s">
        <v>355</v>
      </c>
      <c r="F233" s="93"/>
      <c r="G233" s="92">
        <f>G234</f>
        <v>157.5</v>
      </c>
      <c r="H233" s="92">
        <f>H234</f>
        <v>165.4</v>
      </c>
    </row>
    <row r="234" spans="1:8" ht="60">
      <c r="A234" s="116" t="s">
        <v>356</v>
      </c>
      <c r="B234" s="94" t="s">
        <v>341</v>
      </c>
      <c r="C234" s="94" t="s">
        <v>50</v>
      </c>
      <c r="D234" s="94" t="s">
        <v>48</v>
      </c>
      <c r="E234" s="94" t="s">
        <v>355</v>
      </c>
      <c r="F234" s="93" t="s">
        <v>144</v>
      </c>
      <c r="G234" s="92">
        <v>157.5</v>
      </c>
      <c r="H234" s="92">
        <v>165.4</v>
      </c>
    </row>
    <row r="235" spans="1:8" ht="15">
      <c r="A235" s="116" t="s">
        <v>208</v>
      </c>
      <c r="B235" s="94" t="s">
        <v>341</v>
      </c>
      <c r="C235" s="94" t="s">
        <v>26</v>
      </c>
      <c r="D235" s="94"/>
      <c r="E235" s="94"/>
      <c r="F235" s="93"/>
      <c r="G235" s="92">
        <f>G236+G242</f>
        <v>7601</v>
      </c>
      <c r="H235" s="92">
        <f>H236+H242</f>
        <v>7448.5</v>
      </c>
    </row>
    <row r="236" spans="1:8" ht="15">
      <c r="A236" s="96" t="s">
        <v>21</v>
      </c>
      <c r="B236" s="94" t="s">
        <v>341</v>
      </c>
      <c r="C236" s="94" t="s">
        <v>26</v>
      </c>
      <c r="D236" s="94" t="s">
        <v>22</v>
      </c>
      <c r="E236" s="94"/>
      <c r="F236" s="93"/>
      <c r="G236" s="92">
        <f>G237</f>
        <v>1650</v>
      </c>
      <c r="H236" s="92">
        <f>H237</f>
        <v>1200</v>
      </c>
    </row>
    <row r="237" spans="1:8" ht="30">
      <c r="A237" s="96" t="s">
        <v>111</v>
      </c>
      <c r="B237" s="94" t="s">
        <v>341</v>
      </c>
      <c r="C237" s="94" t="s">
        <v>26</v>
      </c>
      <c r="D237" s="94" t="s">
        <v>22</v>
      </c>
      <c r="E237" s="94" t="s">
        <v>207</v>
      </c>
      <c r="F237" s="93"/>
      <c r="G237" s="92">
        <f>G238+G240</f>
        <v>1650</v>
      </c>
      <c r="H237" s="92">
        <f>H238+H240</f>
        <v>1200</v>
      </c>
    </row>
    <row r="238" spans="1:8" ht="45">
      <c r="A238" s="96" t="s">
        <v>354</v>
      </c>
      <c r="B238" s="94" t="s">
        <v>341</v>
      </c>
      <c r="C238" s="94" t="s">
        <v>26</v>
      </c>
      <c r="D238" s="94" t="s">
        <v>22</v>
      </c>
      <c r="E238" s="94" t="s">
        <v>205</v>
      </c>
      <c r="F238" s="93"/>
      <c r="G238" s="92">
        <f>G239</f>
        <v>1500</v>
      </c>
      <c r="H238" s="92">
        <f>H239</f>
        <v>1000</v>
      </c>
    </row>
    <row r="239" spans="1:8" ht="45">
      <c r="A239" s="116" t="s">
        <v>351</v>
      </c>
      <c r="B239" s="94" t="s">
        <v>341</v>
      </c>
      <c r="C239" s="94" t="s">
        <v>26</v>
      </c>
      <c r="D239" s="94" t="s">
        <v>22</v>
      </c>
      <c r="E239" s="94" t="s">
        <v>205</v>
      </c>
      <c r="F239" s="93" t="s">
        <v>349</v>
      </c>
      <c r="G239" s="92">
        <v>1500</v>
      </c>
      <c r="H239" s="92">
        <v>1000</v>
      </c>
    </row>
    <row r="240" spans="1:8" ht="60">
      <c r="A240" s="96" t="s">
        <v>548</v>
      </c>
      <c r="B240" s="94" t="s">
        <v>341</v>
      </c>
      <c r="C240" s="94" t="s">
        <v>26</v>
      </c>
      <c r="D240" s="94" t="s">
        <v>22</v>
      </c>
      <c r="E240" s="94" t="s">
        <v>347</v>
      </c>
      <c r="F240" s="93"/>
      <c r="G240" s="92">
        <f>G241</f>
        <v>150</v>
      </c>
      <c r="H240" s="92">
        <f>H241</f>
        <v>200</v>
      </c>
    </row>
    <row r="241" spans="1:8" ht="30">
      <c r="A241" s="116" t="s">
        <v>118</v>
      </c>
      <c r="B241" s="94" t="s">
        <v>341</v>
      </c>
      <c r="C241" s="94" t="s">
        <v>26</v>
      </c>
      <c r="D241" s="94" t="s">
        <v>22</v>
      </c>
      <c r="E241" s="94" t="s">
        <v>347</v>
      </c>
      <c r="F241" s="93" t="s">
        <v>117</v>
      </c>
      <c r="G241" s="92">
        <v>150</v>
      </c>
      <c r="H241" s="92">
        <v>200</v>
      </c>
    </row>
    <row r="242" spans="1:8" ht="15">
      <c r="A242" s="99" t="s">
        <v>17</v>
      </c>
      <c r="B242" s="94" t="s">
        <v>341</v>
      </c>
      <c r="C242" s="94" t="s">
        <v>26</v>
      </c>
      <c r="D242" s="94" t="s">
        <v>18</v>
      </c>
      <c r="E242" s="94"/>
      <c r="F242" s="93"/>
      <c r="G242" s="92">
        <f>G243</f>
        <v>5951</v>
      </c>
      <c r="H242" s="92">
        <f>H243</f>
        <v>6248.5</v>
      </c>
    </row>
    <row r="243" spans="1:8" ht="30">
      <c r="A243" s="99" t="s">
        <v>344</v>
      </c>
      <c r="B243" s="94" t="s">
        <v>341</v>
      </c>
      <c r="C243" s="94" t="s">
        <v>26</v>
      </c>
      <c r="D243" s="94" t="s">
        <v>18</v>
      </c>
      <c r="E243" s="94" t="s">
        <v>343</v>
      </c>
      <c r="F243" s="93"/>
      <c r="G243" s="92">
        <f>G244</f>
        <v>5951</v>
      </c>
      <c r="H243" s="92">
        <f>H244</f>
        <v>6248.5</v>
      </c>
    </row>
    <row r="244" spans="1:8" ht="60">
      <c r="A244" s="98" t="s">
        <v>161</v>
      </c>
      <c r="B244" s="94" t="s">
        <v>341</v>
      </c>
      <c r="C244" s="94" t="s">
        <v>26</v>
      </c>
      <c r="D244" s="94" t="s">
        <v>18</v>
      </c>
      <c r="E244" s="94" t="s">
        <v>343</v>
      </c>
      <c r="F244" s="93" t="s">
        <v>159</v>
      </c>
      <c r="G244" s="92">
        <v>5951</v>
      </c>
      <c r="H244" s="92">
        <v>6248.5</v>
      </c>
    </row>
    <row r="245" spans="1:8" ht="42.75">
      <c r="A245" s="128" t="s">
        <v>339</v>
      </c>
      <c r="B245" s="127" t="s">
        <v>330</v>
      </c>
      <c r="C245" s="106"/>
      <c r="D245" s="106"/>
      <c r="E245" s="126"/>
      <c r="F245" s="121"/>
      <c r="G245" s="109">
        <f>G246+G256</f>
        <v>19035.455</v>
      </c>
      <c r="H245" s="109">
        <f>H246+H256</f>
        <v>20199.67775</v>
      </c>
    </row>
    <row r="246" spans="1:8" ht="15">
      <c r="A246" s="96" t="s">
        <v>338</v>
      </c>
      <c r="B246" s="94" t="s">
        <v>330</v>
      </c>
      <c r="C246" s="94" t="s">
        <v>94</v>
      </c>
      <c r="D246" s="94"/>
      <c r="E246" s="94"/>
      <c r="F246" s="93"/>
      <c r="G246" s="92">
        <f>G247</f>
        <v>18396.455</v>
      </c>
      <c r="H246" s="92">
        <f>H247</f>
        <v>19510.67775</v>
      </c>
    </row>
    <row r="247" spans="1:8" ht="15">
      <c r="A247" s="96" t="s">
        <v>79</v>
      </c>
      <c r="B247" s="94" t="s">
        <v>330</v>
      </c>
      <c r="C247" s="94" t="s">
        <v>94</v>
      </c>
      <c r="D247" s="94" t="s">
        <v>80</v>
      </c>
      <c r="E247" s="94"/>
      <c r="F247" s="93"/>
      <c r="G247" s="92">
        <f>G248</f>
        <v>18396.455</v>
      </c>
      <c r="H247" s="92">
        <f>H248</f>
        <v>19510.67775</v>
      </c>
    </row>
    <row r="248" spans="1:8" ht="30">
      <c r="A248" s="96" t="s">
        <v>337</v>
      </c>
      <c r="B248" s="94" t="s">
        <v>330</v>
      </c>
      <c r="C248" s="94" t="s">
        <v>94</v>
      </c>
      <c r="D248" s="94" t="s">
        <v>80</v>
      </c>
      <c r="E248" s="94" t="s">
        <v>336</v>
      </c>
      <c r="F248" s="93"/>
      <c r="G248" s="92">
        <f>G249</f>
        <v>18396.455</v>
      </c>
      <c r="H248" s="92">
        <f>H249</f>
        <v>19510.67775</v>
      </c>
    </row>
    <row r="249" spans="1:8" ht="30">
      <c r="A249" s="96" t="s">
        <v>125</v>
      </c>
      <c r="B249" s="94" t="s">
        <v>330</v>
      </c>
      <c r="C249" s="94" t="s">
        <v>94</v>
      </c>
      <c r="D249" s="94" t="s">
        <v>80</v>
      </c>
      <c r="E249" s="94" t="s">
        <v>335</v>
      </c>
      <c r="F249" s="93"/>
      <c r="G249" s="92">
        <f>G250+G252+G253+G254+G255+G251</f>
        <v>18396.455</v>
      </c>
      <c r="H249" s="92">
        <f>H250+H252+H253+H254+H255+H251</f>
        <v>19510.67775</v>
      </c>
    </row>
    <row r="250" spans="1:8" ht="15">
      <c r="A250" s="98" t="s">
        <v>124</v>
      </c>
      <c r="B250" s="94" t="s">
        <v>330</v>
      </c>
      <c r="C250" s="94" t="s">
        <v>94</v>
      </c>
      <c r="D250" s="94" t="s">
        <v>80</v>
      </c>
      <c r="E250" s="94" t="s">
        <v>335</v>
      </c>
      <c r="F250" s="97" t="s">
        <v>123</v>
      </c>
      <c r="G250" s="92">
        <f>5271*1.105</f>
        <v>5824.455</v>
      </c>
      <c r="H250" s="92">
        <f>G250*1.05</f>
        <v>6115.67775</v>
      </c>
    </row>
    <row r="251" spans="1:8" ht="30">
      <c r="A251" s="98" t="s">
        <v>122</v>
      </c>
      <c r="B251" s="94" t="s">
        <v>330</v>
      </c>
      <c r="C251" s="94" t="s">
        <v>94</v>
      </c>
      <c r="D251" s="94" t="s">
        <v>80</v>
      </c>
      <c r="E251" s="94" t="s">
        <v>335</v>
      </c>
      <c r="F251" s="97" t="s">
        <v>121</v>
      </c>
      <c r="G251" s="92">
        <v>8</v>
      </c>
      <c r="H251" s="92">
        <v>8</v>
      </c>
    </row>
    <row r="252" spans="1:8" ht="30">
      <c r="A252" s="98" t="s">
        <v>120</v>
      </c>
      <c r="B252" s="94" t="s">
        <v>330</v>
      </c>
      <c r="C252" s="94" t="s">
        <v>94</v>
      </c>
      <c r="D252" s="94" t="s">
        <v>80</v>
      </c>
      <c r="E252" s="94" t="s">
        <v>335</v>
      </c>
      <c r="F252" s="97" t="s">
        <v>119</v>
      </c>
      <c r="G252" s="92">
        <v>578</v>
      </c>
      <c r="H252" s="92">
        <v>607</v>
      </c>
    </row>
    <row r="253" spans="1:8" ht="30">
      <c r="A253" s="96" t="s">
        <v>118</v>
      </c>
      <c r="B253" s="94" t="s">
        <v>330</v>
      </c>
      <c r="C253" s="94" t="s">
        <v>94</v>
      </c>
      <c r="D253" s="94" t="s">
        <v>80</v>
      </c>
      <c r="E253" s="94" t="s">
        <v>335</v>
      </c>
      <c r="F253" s="97" t="s">
        <v>117</v>
      </c>
      <c r="G253" s="92">
        <v>11521</v>
      </c>
      <c r="H253" s="92">
        <v>12315</v>
      </c>
    </row>
    <row r="254" spans="1:8" ht="30">
      <c r="A254" s="98" t="s">
        <v>129</v>
      </c>
      <c r="B254" s="94" t="s">
        <v>330</v>
      </c>
      <c r="C254" s="94" t="s">
        <v>94</v>
      </c>
      <c r="D254" s="94" t="s">
        <v>80</v>
      </c>
      <c r="E254" s="94" t="s">
        <v>335</v>
      </c>
      <c r="F254" s="97" t="s">
        <v>128</v>
      </c>
      <c r="G254" s="92">
        <v>450</v>
      </c>
      <c r="H254" s="92">
        <v>450</v>
      </c>
    </row>
    <row r="255" spans="1:8" ht="30">
      <c r="A255" s="98" t="s">
        <v>116</v>
      </c>
      <c r="B255" s="94" t="s">
        <v>330</v>
      </c>
      <c r="C255" s="94" t="s">
        <v>94</v>
      </c>
      <c r="D255" s="94" t="s">
        <v>80</v>
      </c>
      <c r="E255" s="94" t="s">
        <v>335</v>
      </c>
      <c r="F255" s="97" t="s">
        <v>114</v>
      </c>
      <c r="G255" s="92">
        <v>15</v>
      </c>
      <c r="H255" s="92">
        <v>15</v>
      </c>
    </row>
    <row r="256" spans="1:8" ht="15">
      <c r="A256" s="96" t="s">
        <v>334</v>
      </c>
      <c r="B256" s="94" t="s">
        <v>330</v>
      </c>
      <c r="C256" s="94" t="s">
        <v>60</v>
      </c>
      <c r="D256" s="94"/>
      <c r="E256" s="94"/>
      <c r="F256" s="93"/>
      <c r="G256" s="92">
        <f>G257</f>
        <v>639</v>
      </c>
      <c r="H256" s="92">
        <f>H257</f>
        <v>689</v>
      </c>
    </row>
    <row r="257" spans="1:8" ht="15">
      <c r="A257" s="96" t="s">
        <v>53</v>
      </c>
      <c r="B257" s="94" t="s">
        <v>330</v>
      </c>
      <c r="C257" s="94" t="s">
        <v>60</v>
      </c>
      <c r="D257" s="94" t="s">
        <v>54</v>
      </c>
      <c r="E257" s="94"/>
      <c r="F257" s="93"/>
      <c r="G257" s="92">
        <f>G258</f>
        <v>639</v>
      </c>
      <c r="H257" s="92">
        <f>H258</f>
        <v>689</v>
      </c>
    </row>
    <row r="258" spans="1:8" ht="30">
      <c r="A258" s="96" t="s">
        <v>333</v>
      </c>
      <c r="B258" s="94" t="s">
        <v>330</v>
      </c>
      <c r="C258" s="94" t="s">
        <v>60</v>
      </c>
      <c r="D258" s="94" t="s">
        <v>54</v>
      </c>
      <c r="E258" s="94" t="s">
        <v>332</v>
      </c>
      <c r="F258" s="93"/>
      <c r="G258" s="92">
        <f>G259</f>
        <v>639</v>
      </c>
      <c r="H258" s="92">
        <f>H259</f>
        <v>689</v>
      </c>
    </row>
    <row r="259" spans="1:8" ht="30">
      <c r="A259" s="99" t="s">
        <v>331</v>
      </c>
      <c r="B259" s="94" t="s">
        <v>330</v>
      </c>
      <c r="C259" s="94" t="s">
        <v>60</v>
      </c>
      <c r="D259" s="94" t="s">
        <v>54</v>
      </c>
      <c r="E259" s="94" t="s">
        <v>329</v>
      </c>
      <c r="F259" s="93"/>
      <c r="G259" s="92">
        <f>G261+G260</f>
        <v>639</v>
      </c>
      <c r="H259" s="92">
        <f>H261+H260</f>
        <v>689</v>
      </c>
    </row>
    <row r="260" spans="1:8" ht="30">
      <c r="A260" s="98" t="s">
        <v>120</v>
      </c>
      <c r="B260" s="94" t="s">
        <v>330</v>
      </c>
      <c r="C260" s="94" t="s">
        <v>60</v>
      </c>
      <c r="D260" s="94" t="s">
        <v>54</v>
      </c>
      <c r="E260" s="94" t="s">
        <v>329</v>
      </c>
      <c r="F260" s="93" t="s">
        <v>119</v>
      </c>
      <c r="G260" s="92">
        <v>213</v>
      </c>
      <c r="H260" s="92">
        <v>223</v>
      </c>
    </row>
    <row r="261" spans="1:8" ht="30">
      <c r="A261" s="96" t="s">
        <v>118</v>
      </c>
      <c r="B261" s="94" t="s">
        <v>330</v>
      </c>
      <c r="C261" s="94" t="s">
        <v>60</v>
      </c>
      <c r="D261" s="94" t="s">
        <v>54</v>
      </c>
      <c r="E261" s="94" t="s">
        <v>329</v>
      </c>
      <c r="F261" s="93" t="s">
        <v>117</v>
      </c>
      <c r="G261" s="92">
        <v>426</v>
      </c>
      <c r="H261" s="92">
        <v>466</v>
      </c>
    </row>
    <row r="262" spans="1:8" ht="42.75">
      <c r="A262" s="111" t="s">
        <v>328</v>
      </c>
      <c r="B262" s="110" t="s">
        <v>315</v>
      </c>
      <c r="C262" s="125"/>
      <c r="D262" s="125"/>
      <c r="E262" s="125"/>
      <c r="F262" s="124"/>
      <c r="G262" s="109">
        <f>G263+G268</f>
        <v>21369</v>
      </c>
      <c r="H262" s="109">
        <f>H263+H268</f>
        <v>17516.8</v>
      </c>
    </row>
    <row r="263" spans="1:8" ht="15">
      <c r="A263" s="96" t="s">
        <v>172</v>
      </c>
      <c r="B263" s="94" t="s">
        <v>315</v>
      </c>
      <c r="C263" s="94" t="s">
        <v>46</v>
      </c>
      <c r="D263" s="94"/>
      <c r="E263" s="94"/>
      <c r="F263" s="93"/>
      <c r="G263" s="92">
        <f>G264</f>
        <v>4548</v>
      </c>
      <c r="H263" s="92">
        <f>H264</f>
        <v>5028</v>
      </c>
    </row>
    <row r="264" spans="1:8" ht="15">
      <c r="A264" s="96" t="s">
        <v>41</v>
      </c>
      <c r="B264" s="94" t="s">
        <v>315</v>
      </c>
      <c r="C264" s="94" t="s">
        <v>46</v>
      </c>
      <c r="D264" s="94" t="s">
        <v>42</v>
      </c>
      <c r="E264" s="94"/>
      <c r="F264" s="93"/>
      <c r="G264" s="92">
        <f>G265</f>
        <v>4548</v>
      </c>
      <c r="H264" s="92">
        <f>H265</f>
        <v>5028</v>
      </c>
    </row>
    <row r="265" spans="1:8" ht="15">
      <c r="A265" s="96" t="s">
        <v>171</v>
      </c>
      <c r="B265" s="94" t="s">
        <v>315</v>
      </c>
      <c r="C265" s="94" t="s">
        <v>46</v>
      </c>
      <c r="D265" s="94" t="s">
        <v>42</v>
      </c>
      <c r="E265" s="94" t="s">
        <v>170</v>
      </c>
      <c r="F265" s="93"/>
      <c r="G265" s="92">
        <f>G266</f>
        <v>4548</v>
      </c>
      <c r="H265" s="92">
        <f>H266</f>
        <v>5028</v>
      </c>
    </row>
    <row r="266" spans="1:8" ht="30">
      <c r="A266" s="96" t="s">
        <v>125</v>
      </c>
      <c r="B266" s="94" t="s">
        <v>315</v>
      </c>
      <c r="C266" s="94" t="s">
        <v>46</v>
      </c>
      <c r="D266" s="94" t="s">
        <v>42</v>
      </c>
      <c r="E266" s="94" t="s">
        <v>169</v>
      </c>
      <c r="F266" s="93"/>
      <c r="G266" s="92">
        <f>G267</f>
        <v>4548</v>
      </c>
      <c r="H266" s="92">
        <f>H267</f>
        <v>5028</v>
      </c>
    </row>
    <row r="267" spans="1:8" ht="60">
      <c r="A267" s="98" t="s">
        <v>161</v>
      </c>
      <c r="B267" s="94" t="s">
        <v>315</v>
      </c>
      <c r="C267" s="94" t="s">
        <v>46</v>
      </c>
      <c r="D267" s="94" t="s">
        <v>42</v>
      </c>
      <c r="E267" s="94" t="s">
        <v>169</v>
      </c>
      <c r="F267" s="93" t="s">
        <v>159</v>
      </c>
      <c r="G267" s="92">
        <v>4548</v>
      </c>
      <c r="H267" s="92">
        <f>6028-1000</f>
        <v>5028</v>
      </c>
    </row>
    <row r="268" spans="1:8" ht="15">
      <c r="A268" s="96" t="s">
        <v>113</v>
      </c>
      <c r="B268" s="94" t="s">
        <v>315</v>
      </c>
      <c r="C268" s="94" t="s">
        <v>16</v>
      </c>
      <c r="D268" s="94"/>
      <c r="E268" s="94"/>
      <c r="F268" s="93"/>
      <c r="G268" s="92">
        <f>G269+G279+G275</f>
        <v>16821</v>
      </c>
      <c r="H268" s="92">
        <f>H269+H279+H275</f>
        <v>12488.8</v>
      </c>
    </row>
    <row r="269" spans="1:8" ht="15">
      <c r="A269" s="96" t="s">
        <v>112</v>
      </c>
      <c r="B269" s="94" t="s">
        <v>315</v>
      </c>
      <c r="C269" s="94" t="s">
        <v>16</v>
      </c>
      <c r="D269" s="94" t="s">
        <v>14</v>
      </c>
      <c r="E269" s="94"/>
      <c r="F269" s="93"/>
      <c r="G269" s="92">
        <f>G270</f>
        <v>5000</v>
      </c>
      <c r="H269" s="92">
        <f>H270</f>
        <v>0</v>
      </c>
    </row>
    <row r="270" spans="1:8" ht="30">
      <c r="A270" s="96" t="s">
        <v>111</v>
      </c>
      <c r="B270" s="94" t="s">
        <v>315</v>
      </c>
      <c r="C270" s="94" t="s">
        <v>16</v>
      </c>
      <c r="D270" s="94" t="s">
        <v>14</v>
      </c>
      <c r="E270" s="94" t="s">
        <v>110</v>
      </c>
      <c r="F270" s="93"/>
      <c r="G270" s="92">
        <f>G271</f>
        <v>5000</v>
      </c>
      <c r="H270" s="92">
        <f>H271</f>
        <v>0</v>
      </c>
    </row>
    <row r="271" spans="1:8" ht="45">
      <c r="A271" s="145" t="s">
        <v>541</v>
      </c>
      <c r="B271" s="94" t="s">
        <v>315</v>
      </c>
      <c r="C271" s="94" t="s">
        <v>16</v>
      </c>
      <c r="D271" s="94" t="s">
        <v>14</v>
      </c>
      <c r="E271" s="94" t="s">
        <v>108</v>
      </c>
      <c r="F271" s="93"/>
      <c r="G271" s="92">
        <f>G272</f>
        <v>5000</v>
      </c>
      <c r="H271" s="92">
        <f>H272</f>
        <v>0</v>
      </c>
    </row>
    <row r="272" spans="1:8" ht="45">
      <c r="A272" s="96" t="s">
        <v>547</v>
      </c>
      <c r="B272" s="94" t="s">
        <v>315</v>
      </c>
      <c r="C272" s="94" t="s">
        <v>16</v>
      </c>
      <c r="D272" s="94" t="s">
        <v>14</v>
      </c>
      <c r="E272" s="94" t="s">
        <v>104</v>
      </c>
      <c r="F272" s="93"/>
      <c r="G272" s="92">
        <f>G273+G274</f>
        <v>5000</v>
      </c>
      <c r="H272" s="92">
        <f>H273+H274</f>
        <v>0</v>
      </c>
    </row>
    <row r="273" spans="1:8" ht="30">
      <c r="A273" s="96" t="s">
        <v>118</v>
      </c>
      <c r="B273" s="94" t="s">
        <v>315</v>
      </c>
      <c r="C273" s="94" t="s">
        <v>16</v>
      </c>
      <c r="D273" s="94" t="s">
        <v>14</v>
      </c>
      <c r="E273" s="94" t="s">
        <v>327</v>
      </c>
      <c r="F273" s="93" t="s">
        <v>117</v>
      </c>
      <c r="G273" s="92">
        <v>1000</v>
      </c>
      <c r="H273" s="92">
        <v>0</v>
      </c>
    </row>
    <row r="274" spans="1:8" ht="30">
      <c r="A274" s="96" t="s">
        <v>106</v>
      </c>
      <c r="B274" s="94" t="s">
        <v>315</v>
      </c>
      <c r="C274" s="94" t="s">
        <v>16</v>
      </c>
      <c r="D274" s="94" t="s">
        <v>14</v>
      </c>
      <c r="E274" s="94" t="s">
        <v>327</v>
      </c>
      <c r="F274" s="93" t="s">
        <v>103</v>
      </c>
      <c r="G274" s="92">
        <v>4000</v>
      </c>
      <c r="H274" s="92">
        <v>0</v>
      </c>
    </row>
    <row r="275" spans="1:8" ht="15">
      <c r="A275" s="96" t="s">
        <v>11</v>
      </c>
      <c r="B275" s="94" t="s">
        <v>315</v>
      </c>
      <c r="C275" s="94" t="s">
        <v>16</v>
      </c>
      <c r="D275" s="94" t="s">
        <v>12</v>
      </c>
      <c r="E275" s="94"/>
      <c r="F275" s="93"/>
      <c r="G275" s="92">
        <f>G277</f>
        <v>7133</v>
      </c>
      <c r="H275" s="92">
        <f>H277</f>
        <v>7561</v>
      </c>
    </row>
    <row r="276" spans="1:8" ht="45">
      <c r="A276" s="98" t="s">
        <v>321</v>
      </c>
      <c r="B276" s="94" t="s">
        <v>315</v>
      </c>
      <c r="C276" s="94" t="s">
        <v>16</v>
      </c>
      <c r="D276" s="94" t="s">
        <v>12</v>
      </c>
      <c r="E276" s="94" t="s">
        <v>320</v>
      </c>
      <c r="F276" s="93"/>
      <c r="G276" s="92">
        <f>G277</f>
        <v>7133</v>
      </c>
      <c r="H276" s="92">
        <f>H277</f>
        <v>7561</v>
      </c>
    </row>
    <row r="277" spans="1:8" ht="30">
      <c r="A277" s="96" t="s">
        <v>125</v>
      </c>
      <c r="B277" s="94" t="s">
        <v>315</v>
      </c>
      <c r="C277" s="94" t="s">
        <v>16</v>
      </c>
      <c r="D277" s="94" t="s">
        <v>12</v>
      </c>
      <c r="E277" s="94" t="s">
        <v>319</v>
      </c>
      <c r="F277" s="93"/>
      <c r="G277" s="92">
        <f>G278</f>
        <v>7133</v>
      </c>
      <c r="H277" s="92">
        <f>H278</f>
        <v>7561</v>
      </c>
    </row>
    <row r="278" spans="1:8" ht="60">
      <c r="A278" s="98" t="s">
        <v>161</v>
      </c>
      <c r="B278" s="94" t="s">
        <v>315</v>
      </c>
      <c r="C278" s="94" t="s">
        <v>16</v>
      </c>
      <c r="D278" s="94" t="s">
        <v>12</v>
      </c>
      <c r="E278" s="94" t="s">
        <v>319</v>
      </c>
      <c r="F278" s="93" t="s">
        <v>159</v>
      </c>
      <c r="G278" s="92">
        <v>7133</v>
      </c>
      <c r="H278" s="92">
        <v>7561</v>
      </c>
    </row>
    <row r="279" spans="1:8" ht="30">
      <c r="A279" s="96" t="s">
        <v>317</v>
      </c>
      <c r="B279" s="94" t="s">
        <v>315</v>
      </c>
      <c r="C279" s="94" t="s">
        <v>16</v>
      </c>
      <c r="D279" s="94" t="s">
        <v>10</v>
      </c>
      <c r="E279" s="94"/>
      <c r="F279" s="93"/>
      <c r="G279" s="92">
        <f>G280+G288</f>
        <v>4688</v>
      </c>
      <c r="H279" s="92">
        <f>H280+H288</f>
        <v>4927.799999999999</v>
      </c>
    </row>
    <row r="280" spans="1:8" ht="45">
      <c r="A280" s="99" t="s">
        <v>134</v>
      </c>
      <c r="B280" s="94" t="s">
        <v>315</v>
      </c>
      <c r="C280" s="94" t="s">
        <v>16</v>
      </c>
      <c r="D280" s="94" t="s">
        <v>10</v>
      </c>
      <c r="E280" s="94" t="s">
        <v>133</v>
      </c>
      <c r="F280" s="93"/>
      <c r="G280" s="92">
        <f>G281</f>
        <v>2464</v>
      </c>
      <c r="H280" s="92">
        <f>H281</f>
        <v>2591.6</v>
      </c>
    </row>
    <row r="281" spans="1:8" ht="15">
      <c r="A281" s="99" t="s">
        <v>132</v>
      </c>
      <c r="B281" s="94" t="s">
        <v>315</v>
      </c>
      <c r="C281" s="94" t="s">
        <v>16</v>
      </c>
      <c r="D281" s="94" t="s">
        <v>10</v>
      </c>
      <c r="E281" s="94" t="s">
        <v>127</v>
      </c>
      <c r="F281" s="93"/>
      <c r="G281" s="92">
        <f>G282+G285+G286+G287+G283+G284</f>
        <v>2464</v>
      </c>
      <c r="H281" s="92">
        <f>H282+H285+H286+H287+H283+H284</f>
        <v>2591.6</v>
      </c>
    </row>
    <row r="282" spans="1:8" ht="15">
      <c r="A282" s="98" t="s">
        <v>124</v>
      </c>
      <c r="B282" s="94" t="s">
        <v>315</v>
      </c>
      <c r="C282" s="94" t="s">
        <v>16</v>
      </c>
      <c r="D282" s="94" t="s">
        <v>10</v>
      </c>
      <c r="E282" s="94" t="s">
        <v>127</v>
      </c>
      <c r="F282" s="97" t="s">
        <v>131</v>
      </c>
      <c r="G282" s="92">
        <v>2192</v>
      </c>
      <c r="H282" s="92">
        <f>G282*1.05</f>
        <v>2301.6</v>
      </c>
    </row>
    <row r="283" spans="1:8" ht="30">
      <c r="A283" s="98" t="s">
        <v>122</v>
      </c>
      <c r="B283" s="94" t="s">
        <v>315</v>
      </c>
      <c r="C283" s="94" t="s">
        <v>16</v>
      </c>
      <c r="D283" s="94" t="s">
        <v>10</v>
      </c>
      <c r="E283" s="94" t="s">
        <v>127</v>
      </c>
      <c r="F283" s="97" t="s">
        <v>130</v>
      </c>
      <c r="G283" s="92">
        <v>2</v>
      </c>
      <c r="H283" s="92">
        <v>2</v>
      </c>
    </row>
    <row r="284" spans="1:8" ht="30">
      <c r="A284" s="98" t="s">
        <v>120</v>
      </c>
      <c r="B284" s="94" t="s">
        <v>315</v>
      </c>
      <c r="C284" s="94" t="s">
        <v>16</v>
      </c>
      <c r="D284" s="94" t="s">
        <v>10</v>
      </c>
      <c r="E284" s="94" t="s">
        <v>127</v>
      </c>
      <c r="F284" s="97" t="s">
        <v>119</v>
      </c>
      <c r="G284" s="92">
        <v>41</v>
      </c>
      <c r="H284" s="92">
        <v>43</v>
      </c>
    </row>
    <row r="285" spans="1:8" ht="30">
      <c r="A285" s="96" t="s">
        <v>118</v>
      </c>
      <c r="B285" s="94" t="s">
        <v>315</v>
      </c>
      <c r="C285" s="94" t="s">
        <v>16</v>
      </c>
      <c r="D285" s="94" t="s">
        <v>10</v>
      </c>
      <c r="E285" s="94" t="s">
        <v>127</v>
      </c>
      <c r="F285" s="97" t="s">
        <v>117</v>
      </c>
      <c r="G285" s="92">
        <v>194</v>
      </c>
      <c r="H285" s="92">
        <v>210</v>
      </c>
    </row>
    <row r="286" spans="1:8" ht="30">
      <c r="A286" s="98" t="s">
        <v>129</v>
      </c>
      <c r="B286" s="94" t="s">
        <v>315</v>
      </c>
      <c r="C286" s="94" t="s">
        <v>16</v>
      </c>
      <c r="D286" s="94" t="s">
        <v>10</v>
      </c>
      <c r="E286" s="94" t="s">
        <v>127</v>
      </c>
      <c r="F286" s="97" t="s">
        <v>128</v>
      </c>
      <c r="G286" s="92">
        <v>35</v>
      </c>
      <c r="H286" s="92">
        <v>35</v>
      </c>
    </row>
    <row r="287" spans="1:8" ht="30">
      <c r="A287" s="98" t="s">
        <v>116</v>
      </c>
      <c r="B287" s="94" t="s">
        <v>315</v>
      </c>
      <c r="C287" s="94" t="s">
        <v>16</v>
      </c>
      <c r="D287" s="94" t="s">
        <v>10</v>
      </c>
      <c r="E287" s="94" t="s">
        <v>127</v>
      </c>
      <c r="F287" s="97" t="s">
        <v>114</v>
      </c>
      <c r="G287" s="92">
        <v>0</v>
      </c>
      <c r="H287" s="92">
        <v>0</v>
      </c>
    </row>
    <row r="288" spans="1:8" ht="90">
      <c r="A288" s="96" t="s">
        <v>126</v>
      </c>
      <c r="B288" s="94" t="s">
        <v>315</v>
      </c>
      <c r="C288" s="94" t="s">
        <v>16</v>
      </c>
      <c r="D288" s="94" t="s">
        <v>10</v>
      </c>
      <c r="E288" s="94" t="s">
        <v>316</v>
      </c>
      <c r="F288" s="93"/>
      <c r="G288" s="92">
        <f>G289</f>
        <v>2224</v>
      </c>
      <c r="H288" s="92">
        <f>H289</f>
        <v>2336.2</v>
      </c>
    </row>
    <row r="289" spans="1:8" ht="30">
      <c r="A289" s="96" t="s">
        <v>125</v>
      </c>
      <c r="B289" s="94" t="s">
        <v>315</v>
      </c>
      <c r="C289" s="94" t="s">
        <v>16</v>
      </c>
      <c r="D289" s="94" t="s">
        <v>10</v>
      </c>
      <c r="E289" s="94" t="s">
        <v>268</v>
      </c>
      <c r="F289" s="93"/>
      <c r="G289" s="92">
        <f>G290+G291+G292+G293+G294</f>
        <v>2224</v>
      </c>
      <c r="H289" s="92">
        <f>H290+H291+H292+H293+H294</f>
        <v>2336.2</v>
      </c>
    </row>
    <row r="290" spans="1:8" ht="15">
      <c r="A290" s="98" t="s">
        <v>124</v>
      </c>
      <c r="B290" s="94" t="s">
        <v>315</v>
      </c>
      <c r="C290" s="94" t="s">
        <v>16</v>
      </c>
      <c r="D290" s="94" t="s">
        <v>10</v>
      </c>
      <c r="E290" s="94" t="s">
        <v>268</v>
      </c>
      <c r="F290" s="97" t="s">
        <v>123</v>
      </c>
      <c r="G290" s="92">
        <v>2045</v>
      </c>
      <c r="H290" s="92">
        <v>2147.2</v>
      </c>
    </row>
    <row r="291" spans="1:8" ht="30">
      <c r="A291" s="98" t="s">
        <v>120</v>
      </c>
      <c r="B291" s="94" t="s">
        <v>315</v>
      </c>
      <c r="C291" s="94" t="s">
        <v>16</v>
      </c>
      <c r="D291" s="94" t="s">
        <v>10</v>
      </c>
      <c r="E291" s="94" t="s">
        <v>268</v>
      </c>
      <c r="F291" s="97" t="s">
        <v>119</v>
      </c>
      <c r="G291" s="92">
        <v>93</v>
      </c>
      <c r="H291" s="92">
        <v>98</v>
      </c>
    </row>
    <row r="292" spans="1:8" ht="30">
      <c r="A292" s="96" t="s">
        <v>118</v>
      </c>
      <c r="B292" s="94" t="s">
        <v>315</v>
      </c>
      <c r="C292" s="94" t="s">
        <v>16</v>
      </c>
      <c r="D292" s="94" t="s">
        <v>10</v>
      </c>
      <c r="E292" s="94" t="s">
        <v>268</v>
      </c>
      <c r="F292" s="97" t="s">
        <v>117</v>
      </c>
      <c r="G292" s="92">
        <v>82</v>
      </c>
      <c r="H292" s="92">
        <v>87</v>
      </c>
    </row>
    <row r="293" spans="1:8" ht="30">
      <c r="A293" s="98" t="s">
        <v>129</v>
      </c>
      <c r="B293" s="94" t="s">
        <v>315</v>
      </c>
      <c r="C293" s="94" t="s">
        <v>16</v>
      </c>
      <c r="D293" s="94" t="s">
        <v>10</v>
      </c>
      <c r="E293" s="94" t="s">
        <v>268</v>
      </c>
      <c r="F293" s="97" t="s">
        <v>128</v>
      </c>
      <c r="G293" s="92">
        <v>4</v>
      </c>
      <c r="H293" s="92">
        <v>4</v>
      </c>
    </row>
    <row r="294" spans="1:8" ht="30">
      <c r="A294" s="98" t="s">
        <v>116</v>
      </c>
      <c r="B294" s="94" t="s">
        <v>315</v>
      </c>
      <c r="C294" s="94" t="s">
        <v>16</v>
      </c>
      <c r="D294" s="94" t="s">
        <v>10</v>
      </c>
      <c r="E294" s="94" t="s">
        <v>268</v>
      </c>
      <c r="F294" s="97" t="s">
        <v>114</v>
      </c>
      <c r="G294" s="92">
        <f>3.2-3.2</f>
        <v>0</v>
      </c>
      <c r="H294" s="92">
        <f>3.2-3.2</f>
        <v>0</v>
      </c>
    </row>
    <row r="295" spans="1:8" ht="42.75">
      <c r="A295" s="111" t="s">
        <v>314</v>
      </c>
      <c r="B295" s="110" t="s">
        <v>303</v>
      </c>
      <c r="C295" s="125"/>
      <c r="D295" s="125"/>
      <c r="E295" s="125"/>
      <c r="F295" s="124"/>
      <c r="G295" s="109">
        <f>G296+G310</f>
        <v>13092.695</v>
      </c>
      <c r="H295" s="109">
        <f>H296+H310</f>
        <v>13740.70475</v>
      </c>
    </row>
    <row r="296" spans="1:8" ht="30">
      <c r="A296" s="96" t="s">
        <v>313</v>
      </c>
      <c r="B296" s="94" t="s">
        <v>303</v>
      </c>
      <c r="C296" s="94" t="s">
        <v>78</v>
      </c>
      <c r="D296" s="94"/>
      <c r="E296" s="94"/>
      <c r="F296" s="93"/>
      <c r="G296" s="92">
        <f>G297</f>
        <v>12741.695</v>
      </c>
      <c r="H296" s="92">
        <f>H297</f>
        <v>13372.70475</v>
      </c>
    </row>
    <row r="297" spans="1:8" ht="54" customHeight="1">
      <c r="A297" s="123" t="s">
        <v>73</v>
      </c>
      <c r="B297" s="94" t="s">
        <v>303</v>
      </c>
      <c r="C297" s="94" t="s">
        <v>78</v>
      </c>
      <c r="D297" s="94" t="s">
        <v>74</v>
      </c>
      <c r="E297" s="94"/>
      <c r="F297" s="93"/>
      <c r="G297" s="92">
        <f>G298+G306</f>
        <v>12741.695</v>
      </c>
      <c r="H297" s="92">
        <f>H298+H306</f>
        <v>13372.70475</v>
      </c>
    </row>
    <row r="298" spans="1:8" ht="30">
      <c r="A298" s="96" t="s">
        <v>310</v>
      </c>
      <c r="B298" s="94" t="s">
        <v>303</v>
      </c>
      <c r="C298" s="94" t="s">
        <v>78</v>
      </c>
      <c r="D298" s="94" t="s">
        <v>74</v>
      </c>
      <c r="E298" s="94" t="s">
        <v>546</v>
      </c>
      <c r="F298" s="93"/>
      <c r="G298" s="92">
        <f>G299</f>
        <v>12541.695</v>
      </c>
      <c r="H298" s="92">
        <f>H299</f>
        <v>13172.70475</v>
      </c>
    </row>
    <row r="299" spans="1:8" ht="30">
      <c r="A299" s="96" t="s">
        <v>125</v>
      </c>
      <c r="B299" s="94" t="s">
        <v>303</v>
      </c>
      <c r="C299" s="94" t="s">
        <v>78</v>
      </c>
      <c r="D299" s="94" t="s">
        <v>74</v>
      </c>
      <c r="E299" s="94" t="s">
        <v>309</v>
      </c>
      <c r="F299" s="93"/>
      <c r="G299" s="92">
        <f>G300+G301+G302+G303+G304+G305</f>
        <v>12541.695</v>
      </c>
      <c r="H299" s="92">
        <f>H300+H301+H302+H303+H304+H305</f>
        <v>13172.70475</v>
      </c>
    </row>
    <row r="300" spans="1:8" ht="15">
      <c r="A300" s="98" t="s">
        <v>124</v>
      </c>
      <c r="B300" s="94" t="s">
        <v>303</v>
      </c>
      <c r="C300" s="94" t="s">
        <v>78</v>
      </c>
      <c r="D300" s="94" t="s">
        <v>74</v>
      </c>
      <c r="E300" s="94" t="s">
        <v>309</v>
      </c>
      <c r="F300" s="97" t="s">
        <v>123</v>
      </c>
      <c r="G300" s="92">
        <f>9059*1.105</f>
        <v>10010.195</v>
      </c>
      <c r="H300" s="92">
        <f>G300*1.05</f>
        <v>10510.70475</v>
      </c>
    </row>
    <row r="301" spans="1:8" ht="30">
      <c r="A301" s="98" t="s">
        <v>122</v>
      </c>
      <c r="B301" s="94" t="s">
        <v>303</v>
      </c>
      <c r="C301" s="94" t="s">
        <v>78</v>
      </c>
      <c r="D301" s="94" t="s">
        <v>74</v>
      </c>
      <c r="E301" s="94" t="s">
        <v>309</v>
      </c>
      <c r="F301" s="97" t="s">
        <v>121</v>
      </c>
      <c r="G301" s="92">
        <v>0</v>
      </c>
      <c r="H301" s="92">
        <v>0</v>
      </c>
    </row>
    <row r="302" spans="1:8" ht="30">
      <c r="A302" s="98" t="s">
        <v>120</v>
      </c>
      <c r="B302" s="94" t="s">
        <v>303</v>
      </c>
      <c r="C302" s="94" t="s">
        <v>78</v>
      </c>
      <c r="D302" s="94" t="s">
        <v>74</v>
      </c>
      <c r="E302" s="94" t="s">
        <v>309</v>
      </c>
      <c r="F302" s="97" t="s">
        <v>119</v>
      </c>
      <c r="G302" s="92">
        <v>408</v>
      </c>
      <c r="H302" s="92">
        <v>428</v>
      </c>
    </row>
    <row r="303" spans="1:8" ht="30">
      <c r="A303" s="96" t="s">
        <v>118</v>
      </c>
      <c r="B303" s="94" t="s">
        <v>303</v>
      </c>
      <c r="C303" s="94" t="s">
        <v>78</v>
      </c>
      <c r="D303" s="94" t="s">
        <v>74</v>
      </c>
      <c r="E303" s="94" t="s">
        <v>309</v>
      </c>
      <c r="F303" s="97" t="s">
        <v>117</v>
      </c>
      <c r="G303" s="92">
        <v>2018.5</v>
      </c>
      <c r="H303" s="92">
        <v>2129</v>
      </c>
    </row>
    <row r="304" spans="1:8" ht="30">
      <c r="A304" s="98" t="s">
        <v>129</v>
      </c>
      <c r="B304" s="94" t="s">
        <v>303</v>
      </c>
      <c r="C304" s="94" t="s">
        <v>78</v>
      </c>
      <c r="D304" s="94" t="s">
        <v>74</v>
      </c>
      <c r="E304" s="94" t="s">
        <v>309</v>
      </c>
      <c r="F304" s="97" t="s">
        <v>128</v>
      </c>
      <c r="G304" s="92">
        <v>96</v>
      </c>
      <c r="H304" s="92">
        <v>96</v>
      </c>
    </row>
    <row r="305" spans="1:8" ht="30">
      <c r="A305" s="98" t="s">
        <v>116</v>
      </c>
      <c r="B305" s="94" t="s">
        <v>303</v>
      </c>
      <c r="C305" s="94" t="s">
        <v>78</v>
      </c>
      <c r="D305" s="94" t="s">
        <v>74</v>
      </c>
      <c r="E305" s="94" t="s">
        <v>309</v>
      </c>
      <c r="F305" s="97" t="s">
        <v>114</v>
      </c>
      <c r="G305" s="92">
        <v>9</v>
      </c>
      <c r="H305" s="92">
        <v>9</v>
      </c>
    </row>
    <row r="306" spans="1:8" ht="30">
      <c r="A306" s="96" t="s">
        <v>308</v>
      </c>
      <c r="B306" s="94" t="s">
        <v>303</v>
      </c>
      <c r="C306" s="94" t="s">
        <v>78</v>
      </c>
      <c r="D306" s="94" t="s">
        <v>74</v>
      </c>
      <c r="E306" s="94" t="s">
        <v>207</v>
      </c>
      <c r="F306" s="93"/>
      <c r="G306" s="92">
        <f>G307</f>
        <v>200</v>
      </c>
      <c r="H306" s="92">
        <f>H307</f>
        <v>200</v>
      </c>
    </row>
    <row r="307" spans="1:8" ht="60">
      <c r="A307" s="99" t="s">
        <v>307</v>
      </c>
      <c r="B307" s="94" t="s">
        <v>303</v>
      </c>
      <c r="C307" s="94" t="s">
        <v>78</v>
      </c>
      <c r="D307" s="94" t="s">
        <v>74</v>
      </c>
      <c r="E307" s="94" t="s">
        <v>306</v>
      </c>
      <c r="F307" s="93"/>
      <c r="G307" s="92">
        <f>G308</f>
        <v>200</v>
      </c>
      <c r="H307" s="92">
        <f>H308</f>
        <v>200</v>
      </c>
    </row>
    <row r="308" spans="1:8" ht="30">
      <c r="A308" s="96" t="s">
        <v>118</v>
      </c>
      <c r="B308" s="94" t="s">
        <v>303</v>
      </c>
      <c r="C308" s="94" t="s">
        <v>78</v>
      </c>
      <c r="D308" s="94" t="s">
        <v>74</v>
      </c>
      <c r="E308" s="94" t="s">
        <v>306</v>
      </c>
      <c r="F308" s="93" t="s">
        <v>117</v>
      </c>
      <c r="G308" s="92">
        <v>200</v>
      </c>
      <c r="H308" s="92">
        <v>200</v>
      </c>
    </row>
    <row r="309" spans="1:8" ht="15">
      <c r="A309" s="96" t="s">
        <v>175</v>
      </c>
      <c r="B309" s="94" t="s">
        <v>303</v>
      </c>
      <c r="C309" s="94" t="s">
        <v>72</v>
      </c>
      <c r="D309" s="94"/>
      <c r="E309" s="94"/>
      <c r="F309" s="93"/>
      <c r="G309" s="92">
        <f>G310</f>
        <v>351</v>
      </c>
      <c r="H309" s="92">
        <f>H310</f>
        <v>368</v>
      </c>
    </row>
    <row r="310" spans="1:8" ht="15">
      <c r="A310" s="96" t="s">
        <v>305</v>
      </c>
      <c r="B310" s="94" t="s">
        <v>303</v>
      </c>
      <c r="C310" s="94" t="s">
        <v>72</v>
      </c>
      <c r="D310" s="94" t="s">
        <v>68</v>
      </c>
      <c r="E310" s="94"/>
      <c r="F310" s="93"/>
      <c r="G310" s="92">
        <f>G311</f>
        <v>351</v>
      </c>
      <c r="H310" s="92">
        <f>H311</f>
        <v>368</v>
      </c>
    </row>
    <row r="311" spans="1:8" ht="30">
      <c r="A311" s="96" t="s">
        <v>304</v>
      </c>
      <c r="B311" s="94" t="s">
        <v>303</v>
      </c>
      <c r="C311" s="94" t="s">
        <v>72</v>
      </c>
      <c r="D311" s="94" t="s">
        <v>68</v>
      </c>
      <c r="E311" s="94" t="s">
        <v>302</v>
      </c>
      <c r="F311" s="93"/>
      <c r="G311" s="92">
        <f>G312</f>
        <v>351</v>
      </c>
      <c r="H311" s="92">
        <f>H312</f>
        <v>368</v>
      </c>
    </row>
    <row r="312" spans="1:8" ht="30">
      <c r="A312" s="96" t="s">
        <v>118</v>
      </c>
      <c r="B312" s="94" t="s">
        <v>303</v>
      </c>
      <c r="C312" s="94" t="s">
        <v>72</v>
      </c>
      <c r="D312" s="94" t="s">
        <v>68</v>
      </c>
      <c r="E312" s="94" t="s">
        <v>302</v>
      </c>
      <c r="F312" s="93" t="s">
        <v>117</v>
      </c>
      <c r="G312" s="92">
        <v>351</v>
      </c>
      <c r="H312" s="92">
        <v>368</v>
      </c>
    </row>
    <row r="313" spans="1:8" ht="42.75">
      <c r="A313" s="111" t="s">
        <v>301</v>
      </c>
      <c r="B313" s="110" t="s">
        <v>178</v>
      </c>
      <c r="C313" s="94"/>
      <c r="D313" s="94"/>
      <c r="E313" s="94"/>
      <c r="F313" s="93"/>
      <c r="G313" s="109">
        <f>G314+G383+G399+G376</f>
        <v>644485.1</v>
      </c>
      <c r="H313" s="109">
        <f>H314+H383+H399+H376</f>
        <v>653319.6</v>
      </c>
    </row>
    <row r="314" spans="1:8" ht="15">
      <c r="A314" s="96" t="s">
        <v>172</v>
      </c>
      <c r="B314" s="94" t="s">
        <v>178</v>
      </c>
      <c r="C314" s="94" t="s">
        <v>46</v>
      </c>
      <c r="D314" s="94"/>
      <c r="E314" s="94"/>
      <c r="F314" s="93"/>
      <c r="G314" s="92">
        <f>G315+G322+G341+G347</f>
        <v>606114.7</v>
      </c>
      <c r="H314" s="92">
        <f>H315+H322+H341+H347</f>
        <v>614434.1</v>
      </c>
    </row>
    <row r="315" spans="1:8" ht="15">
      <c r="A315" s="96" t="s">
        <v>43</v>
      </c>
      <c r="B315" s="94" t="s">
        <v>178</v>
      </c>
      <c r="C315" s="94" t="s">
        <v>46</v>
      </c>
      <c r="D315" s="94" t="s">
        <v>44</v>
      </c>
      <c r="E315" s="94"/>
      <c r="F315" s="93"/>
      <c r="G315" s="92">
        <f>G316+G319</f>
        <v>217724.5</v>
      </c>
      <c r="H315" s="92">
        <f>H316+H319</f>
        <v>219061.5</v>
      </c>
    </row>
    <row r="316" spans="1:8" ht="15">
      <c r="A316" s="96" t="s">
        <v>300</v>
      </c>
      <c r="B316" s="94" t="s">
        <v>178</v>
      </c>
      <c r="C316" s="94" t="s">
        <v>46</v>
      </c>
      <c r="D316" s="94" t="s">
        <v>44</v>
      </c>
      <c r="E316" s="94" t="s">
        <v>299</v>
      </c>
      <c r="F316" s="93"/>
      <c r="G316" s="92">
        <f>G317</f>
        <v>217290</v>
      </c>
      <c r="H316" s="92">
        <f>H317</f>
        <v>218627</v>
      </c>
    </row>
    <row r="317" spans="1:8" ht="30">
      <c r="A317" s="96" t="s">
        <v>125</v>
      </c>
      <c r="B317" s="94" t="s">
        <v>178</v>
      </c>
      <c r="C317" s="94" t="s">
        <v>46</v>
      </c>
      <c r="D317" s="94" t="s">
        <v>44</v>
      </c>
      <c r="E317" s="94" t="s">
        <v>298</v>
      </c>
      <c r="F317" s="93"/>
      <c r="G317" s="92">
        <f>G318</f>
        <v>217290</v>
      </c>
      <c r="H317" s="92">
        <f>H318</f>
        <v>218627</v>
      </c>
    </row>
    <row r="318" spans="1:8" ht="60">
      <c r="A318" s="98" t="s">
        <v>161</v>
      </c>
      <c r="B318" s="94" t="s">
        <v>178</v>
      </c>
      <c r="C318" s="94" t="s">
        <v>46</v>
      </c>
      <c r="D318" s="94" t="s">
        <v>44</v>
      </c>
      <c r="E318" s="94" t="s">
        <v>298</v>
      </c>
      <c r="F318" s="168" t="s">
        <v>159</v>
      </c>
      <c r="G318" s="92">
        <f>229290-12000</f>
        <v>217290</v>
      </c>
      <c r="H318" s="92">
        <f>242227-23600</f>
        <v>218627</v>
      </c>
    </row>
    <row r="319" spans="1:8" ht="105">
      <c r="A319" s="96" t="s">
        <v>196</v>
      </c>
      <c r="B319" s="94" t="s">
        <v>178</v>
      </c>
      <c r="C319" s="94" t="s">
        <v>46</v>
      </c>
      <c r="D319" s="94" t="s">
        <v>44</v>
      </c>
      <c r="E319" s="94" t="s">
        <v>195</v>
      </c>
      <c r="F319" s="93"/>
      <c r="G319" s="92">
        <f>G320</f>
        <v>434.5</v>
      </c>
      <c r="H319" s="92">
        <f>H320</f>
        <v>434.5</v>
      </c>
    </row>
    <row r="320" spans="1:8" ht="45">
      <c r="A320" s="122" t="s">
        <v>296</v>
      </c>
      <c r="B320" s="94" t="s">
        <v>178</v>
      </c>
      <c r="C320" s="94" t="s">
        <v>46</v>
      </c>
      <c r="D320" s="94" t="s">
        <v>44</v>
      </c>
      <c r="E320" s="94" t="s">
        <v>295</v>
      </c>
      <c r="F320" s="93"/>
      <c r="G320" s="92">
        <f>G321</f>
        <v>434.5</v>
      </c>
      <c r="H320" s="92">
        <f>H321</f>
        <v>434.5</v>
      </c>
    </row>
    <row r="321" spans="1:8" ht="30">
      <c r="A321" s="96" t="s">
        <v>106</v>
      </c>
      <c r="B321" s="94" t="s">
        <v>178</v>
      </c>
      <c r="C321" s="94" t="s">
        <v>46</v>
      </c>
      <c r="D321" s="94" t="s">
        <v>44</v>
      </c>
      <c r="E321" s="94" t="s">
        <v>295</v>
      </c>
      <c r="F321" s="93" t="s">
        <v>103</v>
      </c>
      <c r="G321" s="92">
        <f>410+24.5</f>
        <v>434.5</v>
      </c>
      <c r="H321" s="92">
        <f>410+24.5</f>
        <v>434.5</v>
      </c>
    </row>
    <row r="322" spans="1:8" ht="15">
      <c r="A322" s="96" t="s">
        <v>41</v>
      </c>
      <c r="B322" s="94" t="s">
        <v>178</v>
      </c>
      <c r="C322" s="94" t="s">
        <v>46</v>
      </c>
      <c r="D322" s="94" t="s">
        <v>42</v>
      </c>
      <c r="E322" s="94"/>
      <c r="F322" s="93"/>
      <c r="G322" s="92">
        <f>G325+G327+G330+G331</f>
        <v>345295.7</v>
      </c>
      <c r="H322" s="92">
        <f>H325+H327+H330+H331</f>
        <v>349900.7</v>
      </c>
    </row>
    <row r="323" spans="1:8" ht="30">
      <c r="A323" s="96" t="s">
        <v>292</v>
      </c>
      <c r="B323" s="94" t="s">
        <v>178</v>
      </c>
      <c r="C323" s="94" t="s">
        <v>46</v>
      </c>
      <c r="D323" s="94" t="s">
        <v>42</v>
      </c>
      <c r="E323" s="94" t="s">
        <v>291</v>
      </c>
      <c r="F323" s="93"/>
      <c r="G323" s="92">
        <f>G324</f>
        <v>60258</v>
      </c>
      <c r="H323" s="92">
        <f>H324</f>
        <v>63525</v>
      </c>
    </row>
    <row r="324" spans="1:8" ht="30">
      <c r="A324" s="96" t="s">
        <v>125</v>
      </c>
      <c r="B324" s="94" t="s">
        <v>178</v>
      </c>
      <c r="C324" s="94" t="s">
        <v>46</v>
      </c>
      <c r="D324" s="94" t="s">
        <v>42</v>
      </c>
      <c r="E324" s="94" t="s">
        <v>290</v>
      </c>
      <c r="F324" s="93"/>
      <c r="G324" s="92">
        <f>G325+G327</f>
        <v>60258</v>
      </c>
      <c r="H324" s="92">
        <f>H325+H327</f>
        <v>63525</v>
      </c>
    </row>
    <row r="325" spans="1:8" ht="60">
      <c r="A325" s="98" t="s">
        <v>161</v>
      </c>
      <c r="B325" s="94" t="s">
        <v>178</v>
      </c>
      <c r="C325" s="94" t="s">
        <v>46</v>
      </c>
      <c r="D325" s="94" t="s">
        <v>42</v>
      </c>
      <c r="E325" s="94" t="s">
        <v>290</v>
      </c>
      <c r="F325" s="97" t="s">
        <v>159</v>
      </c>
      <c r="G325" s="92">
        <v>51081</v>
      </c>
      <c r="H325" s="92">
        <f>55545-2000</f>
        <v>53545</v>
      </c>
    </row>
    <row r="326" spans="1:8" ht="30">
      <c r="A326" s="96" t="s">
        <v>125</v>
      </c>
      <c r="B326" s="94" t="s">
        <v>178</v>
      </c>
      <c r="C326" s="94" t="s">
        <v>46</v>
      </c>
      <c r="D326" s="94" t="s">
        <v>42</v>
      </c>
      <c r="E326" s="94" t="s">
        <v>290</v>
      </c>
      <c r="F326" s="93"/>
      <c r="G326" s="92">
        <f>G327</f>
        <v>9177</v>
      </c>
      <c r="H326" s="92">
        <f>H327</f>
        <v>9980</v>
      </c>
    </row>
    <row r="327" spans="1:8" ht="60">
      <c r="A327" s="98" t="s">
        <v>151</v>
      </c>
      <c r="B327" s="94" t="s">
        <v>178</v>
      </c>
      <c r="C327" s="94" t="s">
        <v>46</v>
      </c>
      <c r="D327" s="94" t="s">
        <v>42</v>
      </c>
      <c r="E327" s="94" t="s">
        <v>290</v>
      </c>
      <c r="F327" s="93" t="s">
        <v>144</v>
      </c>
      <c r="G327" s="92">
        <v>9177</v>
      </c>
      <c r="H327" s="92">
        <v>9980</v>
      </c>
    </row>
    <row r="328" spans="1:8" ht="15">
      <c r="A328" s="96" t="s">
        <v>171</v>
      </c>
      <c r="B328" s="94" t="s">
        <v>178</v>
      </c>
      <c r="C328" s="94" t="s">
        <v>46</v>
      </c>
      <c r="D328" s="94" t="s">
        <v>42</v>
      </c>
      <c r="E328" s="94" t="s">
        <v>170</v>
      </c>
      <c r="F328" s="93"/>
      <c r="G328" s="92">
        <f>G329</f>
        <v>57760</v>
      </c>
      <c r="H328" s="92">
        <f>H329</f>
        <v>59048</v>
      </c>
    </row>
    <row r="329" spans="1:8" ht="30">
      <c r="A329" s="96" t="s">
        <v>125</v>
      </c>
      <c r="B329" s="94" t="s">
        <v>178</v>
      </c>
      <c r="C329" s="94" t="s">
        <v>46</v>
      </c>
      <c r="D329" s="94" t="s">
        <v>42</v>
      </c>
      <c r="E329" s="94" t="s">
        <v>169</v>
      </c>
      <c r="F329" s="93"/>
      <c r="G329" s="92">
        <f>G330</f>
        <v>57760</v>
      </c>
      <c r="H329" s="92">
        <f>H330</f>
        <v>59048</v>
      </c>
    </row>
    <row r="330" spans="1:8" ht="60">
      <c r="A330" s="98" t="s">
        <v>161</v>
      </c>
      <c r="B330" s="94" t="s">
        <v>178</v>
      </c>
      <c r="C330" s="94" t="s">
        <v>46</v>
      </c>
      <c r="D330" s="94" t="s">
        <v>42</v>
      </c>
      <c r="E330" s="94" t="s">
        <v>169</v>
      </c>
      <c r="F330" s="93" t="s">
        <v>159</v>
      </c>
      <c r="G330" s="92">
        <f>67760-10000</f>
        <v>57760</v>
      </c>
      <c r="H330" s="92">
        <f>85079-26000-31</f>
        <v>59048</v>
      </c>
    </row>
    <row r="331" spans="1:8" ht="30">
      <c r="A331" s="96" t="s">
        <v>204</v>
      </c>
      <c r="B331" s="94" t="s">
        <v>178</v>
      </c>
      <c r="C331" s="94" t="s">
        <v>46</v>
      </c>
      <c r="D331" s="94" t="s">
        <v>42</v>
      </c>
      <c r="E331" s="94" t="s">
        <v>203</v>
      </c>
      <c r="F331" s="93"/>
      <c r="G331" s="92">
        <f>G332+G336</f>
        <v>227277.7</v>
      </c>
      <c r="H331" s="92">
        <f>H332+H336</f>
        <v>227327.7</v>
      </c>
    </row>
    <row r="332" spans="1:8" ht="30">
      <c r="A332" s="96" t="s">
        <v>288</v>
      </c>
      <c r="B332" s="94" t="s">
        <v>178</v>
      </c>
      <c r="C332" s="94" t="s">
        <v>46</v>
      </c>
      <c r="D332" s="94" t="s">
        <v>42</v>
      </c>
      <c r="E332" s="94" t="s">
        <v>287</v>
      </c>
      <c r="F332" s="93"/>
      <c r="G332" s="92">
        <f>G333</f>
        <v>7249.5</v>
      </c>
      <c r="H332" s="92">
        <f>H333</f>
        <v>7299.5</v>
      </c>
    </row>
    <row r="333" spans="1:8" ht="45">
      <c r="A333" s="96" t="s">
        <v>285</v>
      </c>
      <c r="B333" s="94" t="s">
        <v>178</v>
      </c>
      <c r="C333" s="94" t="s">
        <v>46</v>
      </c>
      <c r="D333" s="94" t="s">
        <v>42</v>
      </c>
      <c r="E333" s="94" t="s">
        <v>284</v>
      </c>
      <c r="F333" s="93"/>
      <c r="G333" s="92">
        <f>G334+G335</f>
        <v>7249.5</v>
      </c>
      <c r="H333" s="92">
        <f>H334+H335</f>
        <v>7299.5</v>
      </c>
    </row>
    <row r="334" spans="1:8" ht="30">
      <c r="A334" s="98" t="s">
        <v>139</v>
      </c>
      <c r="B334" s="94" t="s">
        <v>178</v>
      </c>
      <c r="C334" s="94" t="s">
        <v>46</v>
      </c>
      <c r="D334" s="94" t="s">
        <v>42</v>
      </c>
      <c r="E334" s="94" t="s">
        <v>284</v>
      </c>
      <c r="F334" s="93" t="s">
        <v>138</v>
      </c>
      <c r="G334" s="92">
        <v>840.9</v>
      </c>
      <c r="H334" s="92">
        <v>846.7</v>
      </c>
    </row>
    <row r="335" spans="1:8" ht="30">
      <c r="A335" s="98" t="s">
        <v>106</v>
      </c>
      <c r="B335" s="94" t="s">
        <v>178</v>
      </c>
      <c r="C335" s="94" t="s">
        <v>46</v>
      </c>
      <c r="D335" s="94" t="s">
        <v>42</v>
      </c>
      <c r="E335" s="94" t="s">
        <v>284</v>
      </c>
      <c r="F335" s="93" t="s">
        <v>103</v>
      </c>
      <c r="G335" s="92">
        <v>6408.6</v>
      </c>
      <c r="H335" s="92">
        <v>6452.8</v>
      </c>
    </row>
    <row r="336" spans="1:8" ht="45">
      <c r="A336" s="96" t="s">
        <v>283</v>
      </c>
      <c r="B336" s="94" t="s">
        <v>178</v>
      </c>
      <c r="C336" s="94" t="s">
        <v>46</v>
      </c>
      <c r="D336" s="94" t="s">
        <v>42</v>
      </c>
      <c r="E336" s="94" t="s">
        <v>278</v>
      </c>
      <c r="F336" s="93"/>
      <c r="G336" s="92">
        <f>G338+G340</f>
        <v>220028.2</v>
      </c>
      <c r="H336" s="92">
        <f>H338+H340</f>
        <v>220028.2</v>
      </c>
    </row>
    <row r="337" spans="1:8" ht="15">
      <c r="A337" s="96" t="s">
        <v>282</v>
      </c>
      <c r="B337" s="94" t="s">
        <v>178</v>
      </c>
      <c r="C337" s="94" t="s">
        <v>46</v>
      </c>
      <c r="D337" s="94" t="s">
        <v>42</v>
      </c>
      <c r="E337" s="94" t="s">
        <v>278</v>
      </c>
      <c r="F337" s="93" t="s">
        <v>281</v>
      </c>
      <c r="G337" s="92">
        <f>G338</f>
        <v>22859.5</v>
      </c>
      <c r="H337" s="92">
        <f>H338</f>
        <v>22859.5</v>
      </c>
    </row>
    <row r="338" spans="1:8" ht="60">
      <c r="A338" s="98" t="s">
        <v>151</v>
      </c>
      <c r="B338" s="94" t="s">
        <v>178</v>
      </c>
      <c r="C338" s="94" t="s">
        <v>46</v>
      </c>
      <c r="D338" s="94" t="s">
        <v>42</v>
      </c>
      <c r="E338" s="94" t="s">
        <v>278</v>
      </c>
      <c r="F338" s="93" t="s">
        <v>144</v>
      </c>
      <c r="G338" s="92">
        <v>22859.5</v>
      </c>
      <c r="H338" s="92">
        <v>22859.5</v>
      </c>
    </row>
    <row r="339" spans="1:8" ht="15">
      <c r="A339" s="98" t="s">
        <v>280</v>
      </c>
      <c r="B339" s="94" t="s">
        <v>178</v>
      </c>
      <c r="C339" s="94" t="s">
        <v>46</v>
      </c>
      <c r="D339" s="94" t="s">
        <v>42</v>
      </c>
      <c r="E339" s="94" t="s">
        <v>278</v>
      </c>
      <c r="F339" s="93" t="s">
        <v>279</v>
      </c>
      <c r="G339" s="92">
        <f>G340</f>
        <v>197168.7</v>
      </c>
      <c r="H339" s="92">
        <f>H340</f>
        <v>197168.7</v>
      </c>
    </row>
    <row r="340" spans="1:8" ht="60">
      <c r="A340" s="98" t="s">
        <v>161</v>
      </c>
      <c r="B340" s="94" t="s">
        <v>178</v>
      </c>
      <c r="C340" s="94" t="s">
        <v>46</v>
      </c>
      <c r="D340" s="94" t="s">
        <v>42</v>
      </c>
      <c r="E340" s="94" t="s">
        <v>278</v>
      </c>
      <c r="F340" s="93" t="s">
        <v>159</v>
      </c>
      <c r="G340" s="92">
        <f>196943+225.7</f>
        <v>197168.7</v>
      </c>
      <c r="H340" s="92">
        <f>196943+225.7</f>
        <v>197168.7</v>
      </c>
    </row>
    <row r="341" spans="1:8" ht="15">
      <c r="A341" s="96" t="s">
        <v>277</v>
      </c>
      <c r="B341" s="94" t="s">
        <v>178</v>
      </c>
      <c r="C341" s="94" t="s">
        <v>46</v>
      </c>
      <c r="D341" s="94" t="s">
        <v>40</v>
      </c>
      <c r="E341" s="94"/>
      <c r="F341" s="93"/>
      <c r="G341" s="92">
        <f>G342+G344</f>
        <v>3125</v>
      </c>
      <c r="H341" s="92">
        <f>H342+H344</f>
        <v>3233</v>
      </c>
    </row>
    <row r="342" spans="1:8" ht="15">
      <c r="A342" s="99" t="s">
        <v>276</v>
      </c>
      <c r="B342" s="94" t="s">
        <v>178</v>
      </c>
      <c r="C342" s="94" t="s">
        <v>46</v>
      </c>
      <c r="D342" s="94" t="s">
        <v>40</v>
      </c>
      <c r="E342" s="94" t="s">
        <v>275</v>
      </c>
      <c r="F342" s="93"/>
      <c r="G342" s="92">
        <f>G343</f>
        <v>1365</v>
      </c>
      <c r="H342" s="92">
        <f>H343</f>
        <v>1378</v>
      </c>
    </row>
    <row r="343" spans="1:8" ht="30">
      <c r="A343" s="99" t="s">
        <v>118</v>
      </c>
      <c r="B343" s="94" t="s">
        <v>178</v>
      </c>
      <c r="C343" s="94" t="s">
        <v>46</v>
      </c>
      <c r="D343" s="94" t="s">
        <v>40</v>
      </c>
      <c r="E343" s="94" t="s">
        <v>275</v>
      </c>
      <c r="F343" s="93" t="s">
        <v>117</v>
      </c>
      <c r="G343" s="92">
        <v>1365</v>
      </c>
      <c r="H343" s="92">
        <v>1378</v>
      </c>
    </row>
    <row r="344" spans="1:8" ht="30">
      <c r="A344" s="99" t="s">
        <v>274</v>
      </c>
      <c r="B344" s="94" t="s">
        <v>178</v>
      </c>
      <c r="C344" s="94" t="s">
        <v>46</v>
      </c>
      <c r="D344" s="94" t="s">
        <v>40</v>
      </c>
      <c r="E344" s="94" t="s">
        <v>273</v>
      </c>
      <c r="F344" s="93"/>
      <c r="G344" s="92">
        <f>G345</f>
        <v>1760</v>
      </c>
      <c r="H344" s="92">
        <f>H345</f>
        <v>1855</v>
      </c>
    </row>
    <row r="345" spans="1:8" ht="30">
      <c r="A345" s="96" t="s">
        <v>125</v>
      </c>
      <c r="B345" s="94" t="s">
        <v>178</v>
      </c>
      <c r="C345" s="94" t="s">
        <v>46</v>
      </c>
      <c r="D345" s="94" t="s">
        <v>40</v>
      </c>
      <c r="E345" s="94" t="s">
        <v>272</v>
      </c>
      <c r="F345" s="121"/>
      <c r="G345" s="92">
        <f>G346</f>
        <v>1760</v>
      </c>
      <c r="H345" s="92">
        <f>H346</f>
        <v>1855</v>
      </c>
    </row>
    <row r="346" spans="1:8" ht="60">
      <c r="A346" s="98" t="s">
        <v>151</v>
      </c>
      <c r="B346" s="94" t="s">
        <v>178</v>
      </c>
      <c r="C346" s="94" t="s">
        <v>46</v>
      </c>
      <c r="D346" s="94" t="s">
        <v>40</v>
      </c>
      <c r="E346" s="94" t="s">
        <v>272</v>
      </c>
      <c r="F346" s="93" t="s">
        <v>144</v>
      </c>
      <c r="G346" s="92">
        <v>1760</v>
      </c>
      <c r="H346" s="92">
        <v>1855</v>
      </c>
    </row>
    <row r="347" spans="1:8" ht="15">
      <c r="A347" s="99" t="s">
        <v>37</v>
      </c>
      <c r="B347" s="94" t="s">
        <v>178</v>
      </c>
      <c r="C347" s="94" t="s">
        <v>46</v>
      </c>
      <c r="D347" s="94" t="s">
        <v>38</v>
      </c>
      <c r="E347" s="94"/>
      <c r="F347" s="93"/>
      <c r="G347" s="92">
        <f>G348+G356+G363+G369</f>
        <v>39969.5</v>
      </c>
      <c r="H347" s="92">
        <f>H348+H356+H363+H369</f>
        <v>42238.899999999994</v>
      </c>
    </row>
    <row r="348" spans="1:8" ht="60">
      <c r="A348" s="99" t="s">
        <v>270</v>
      </c>
      <c r="B348" s="94" t="s">
        <v>178</v>
      </c>
      <c r="C348" s="94" t="s">
        <v>46</v>
      </c>
      <c r="D348" s="94" t="s">
        <v>38</v>
      </c>
      <c r="E348" s="94" t="s">
        <v>133</v>
      </c>
      <c r="F348" s="93"/>
      <c r="G348" s="92">
        <f>G349</f>
        <v>8514.3</v>
      </c>
      <c r="H348" s="92">
        <f>H349</f>
        <v>8930</v>
      </c>
    </row>
    <row r="349" spans="1:8" ht="15">
      <c r="A349" s="99" t="s">
        <v>132</v>
      </c>
      <c r="B349" s="94" t="s">
        <v>178</v>
      </c>
      <c r="C349" s="94" t="s">
        <v>46</v>
      </c>
      <c r="D349" s="94" t="s">
        <v>38</v>
      </c>
      <c r="E349" s="94" t="s">
        <v>127</v>
      </c>
      <c r="F349" s="93"/>
      <c r="G349" s="92">
        <f>G350+G352+G353+G354+G351+G355</f>
        <v>8514.3</v>
      </c>
      <c r="H349" s="92">
        <f>H350+H352+H353+H354+H351+H355</f>
        <v>8930</v>
      </c>
    </row>
    <row r="350" spans="1:8" ht="15">
      <c r="A350" s="98" t="s">
        <v>124</v>
      </c>
      <c r="B350" s="94" t="s">
        <v>178</v>
      </c>
      <c r="C350" s="94" t="s">
        <v>46</v>
      </c>
      <c r="D350" s="94" t="s">
        <v>38</v>
      </c>
      <c r="E350" s="94" t="s">
        <v>127</v>
      </c>
      <c r="F350" s="97" t="s">
        <v>131</v>
      </c>
      <c r="G350" s="92">
        <v>8136.4</v>
      </c>
      <c r="H350" s="92">
        <v>8543.2</v>
      </c>
    </row>
    <row r="351" spans="1:8" ht="30">
      <c r="A351" s="98" t="s">
        <v>122</v>
      </c>
      <c r="B351" s="94" t="s">
        <v>178</v>
      </c>
      <c r="C351" s="94" t="s">
        <v>46</v>
      </c>
      <c r="D351" s="94" t="s">
        <v>38</v>
      </c>
      <c r="E351" s="94" t="s">
        <v>127</v>
      </c>
      <c r="F351" s="97" t="s">
        <v>130</v>
      </c>
      <c r="G351" s="92">
        <v>0.4</v>
      </c>
      <c r="H351" s="92">
        <v>0.4</v>
      </c>
    </row>
    <row r="352" spans="1:8" ht="30">
      <c r="A352" s="98" t="s">
        <v>120</v>
      </c>
      <c r="B352" s="94" t="s">
        <v>178</v>
      </c>
      <c r="C352" s="94" t="s">
        <v>46</v>
      </c>
      <c r="D352" s="94" t="s">
        <v>38</v>
      </c>
      <c r="E352" s="94" t="s">
        <v>127</v>
      </c>
      <c r="F352" s="97" t="s">
        <v>119</v>
      </c>
      <c r="G352" s="92">
        <v>55</v>
      </c>
      <c r="H352" s="92">
        <v>58</v>
      </c>
    </row>
    <row r="353" spans="1:8" ht="30">
      <c r="A353" s="96" t="s">
        <v>118</v>
      </c>
      <c r="B353" s="94" t="s">
        <v>178</v>
      </c>
      <c r="C353" s="94" t="s">
        <v>46</v>
      </c>
      <c r="D353" s="94" t="s">
        <v>38</v>
      </c>
      <c r="E353" s="94" t="s">
        <v>127</v>
      </c>
      <c r="F353" s="97" t="s">
        <v>117</v>
      </c>
      <c r="G353" s="92">
        <v>125.1</v>
      </c>
      <c r="H353" s="92">
        <v>131</v>
      </c>
    </row>
    <row r="354" spans="1:8" ht="30">
      <c r="A354" s="98" t="s">
        <v>129</v>
      </c>
      <c r="B354" s="94" t="s">
        <v>178</v>
      </c>
      <c r="C354" s="94" t="s">
        <v>46</v>
      </c>
      <c r="D354" s="94" t="s">
        <v>38</v>
      </c>
      <c r="E354" s="94" t="s">
        <v>127</v>
      </c>
      <c r="F354" s="97" t="s">
        <v>128</v>
      </c>
      <c r="G354" s="92">
        <v>169.4</v>
      </c>
      <c r="H354" s="92">
        <v>169.4</v>
      </c>
    </row>
    <row r="355" spans="1:8" ht="30">
      <c r="A355" s="98" t="s">
        <v>116</v>
      </c>
      <c r="B355" s="94" t="s">
        <v>178</v>
      </c>
      <c r="C355" s="94" t="s">
        <v>46</v>
      </c>
      <c r="D355" s="94" t="s">
        <v>38</v>
      </c>
      <c r="E355" s="94" t="s">
        <v>127</v>
      </c>
      <c r="F355" s="97" t="s">
        <v>114</v>
      </c>
      <c r="G355" s="92">
        <v>28</v>
      </c>
      <c r="H355" s="92">
        <v>28</v>
      </c>
    </row>
    <row r="356" spans="1:8" ht="90">
      <c r="A356" s="96" t="s">
        <v>126</v>
      </c>
      <c r="B356" s="94" t="s">
        <v>178</v>
      </c>
      <c r="C356" s="94" t="s">
        <v>46</v>
      </c>
      <c r="D356" s="94" t="s">
        <v>38</v>
      </c>
      <c r="E356" s="94" t="s">
        <v>269</v>
      </c>
      <c r="F356" s="97"/>
      <c r="G356" s="92">
        <f>G357</f>
        <v>25238</v>
      </c>
      <c r="H356" s="92">
        <f>H357</f>
        <v>26591.7</v>
      </c>
    </row>
    <row r="357" spans="1:8" ht="30">
      <c r="A357" s="96" t="s">
        <v>125</v>
      </c>
      <c r="B357" s="94" t="s">
        <v>178</v>
      </c>
      <c r="C357" s="94" t="s">
        <v>46</v>
      </c>
      <c r="D357" s="94" t="s">
        <v>38</v>
      </c>
      <c r="E357" s="94" t="s">
        <v>268</v>
      </c>
      <c r="F357" s="97"/>
      <c r="G357" s="92">
        <f>G358+G359+G360+G361+G362</f>
        <v>25238</v>
      </c>
      <c r="H357" s="92">
        <f>H358+H359+H360+H361+H362</f>
        <v>26591.7</v>
      </c>
    </row>
    <row r="358" spans="1:8" ht="15">
      <c r="A358" s="98" t="s">
        <v>124</v>
      </c>
      <c r="B358" s="94" t="s">
        <v>178</v>
      </c>
      <c r="C358" s="94" t="s">
        <v>46</v>
      </c>
      <c r="D358" s="94" t="s">
        <v>38</v>
      </c>
      <c r="E358" s="94" t="s">
        <v>268</v>
      </c>
      <c r="F358" s="97" t="s">
        <v>123</v>
      </c>
      <c r="G358" s="92">
        <v>18109.6</v>
      </c>
      <c r="H358" s="92">
        <v>19015</v>
      </c>
    </row>
    <row r="359" spans="1:8" ht="30">
      <c r="A359" s="98" t="s">
        <v>122</v>
      </c>
      <c r="B359" s="94" t="s">
        <v>178</v>
      </c>
      <c r="C359" s="94" t="s">
        <v>46</v>
      </c>
      <c r="D359" s="94" t="s">
        <v>38</v>
      </c>
      <c r="E359" s="94" t="s">
        <v>268</v>
      </c>
      <c r="F359" s="97" t="s">
        <v>121</v>
      </c>
      <c r="G359" s="92">
        <v>13</v>
      </c>
      <c r="H359" s="92">
        <v>13</v>
      </c>
    </row>
    <row r="360" spans="1:8" ht="30">
      <c r="A360" s="98" t="s">
        <v>120</v>
      </c>
      <c r="B360" s="94" t="s">
        <v>178</v>
      </c>
      <c r="C360" s="94" t="s">
        <v>46</v>
      </c>
      <c r="D360" s="94" t="s">
        <v>38</v>
      </c>
      <c r="E360" s="94" t="s">
        <v>268</v>
      </c>
      <c r="F360" s="97" t="s">
        <v>119</v>
      </c>
      <c r="G360" s="92">
        <v>498.5</v>
      </c>
      <c r="H360" s="92">
        <v>523.4</v>
      </c>
    </row>
    <row r="361" spans="1:8" ht="30">
      <c r="A361" s="96" t="s">
        <v>118</v>
      </c>
      <c r="B361" s="94" t="s">
        <v>178</v>
      </c>
      <c r="C361" s="94" t="s">
        <v>46</v>
      </c>
      <c r="D361" s="94" t="s">
        <v>38</v>
      </c>
      <c r="E361" s="94" t="s">
        <v>268</v>
      </c>
      <c r="F361" s="97" t="s">
        <v>117</v>
      </c>
      <c r="G361" s="92">
        <v>4484.9</v>
      </c>
      <c r="H361" s="92">
        <v>4810</v>
      </c>
    </row>
    <row r="362" spans="1:8" ht="60">
      <c r="A362" s="98" t="s">
        <v>151</v>
      </c>
      <c r="B362" s="94" t="s">
        <v>178</v>
      </c>
      <c r="C362" s="94" t="s">
        <v>46</v>
      </c>
      <c r="D362" s="94" t="s">
        <v>38</v>
      </c>
      <c r="E362" s="94" t="s">
        <v>268</v>
      </c>
      <c r="F362" s="97" t="s">
        <v>144</v>
      </c>
      <c r="G362" s="92">
        <v>2132</v>
      </c>
      <c r="H362" s="92">
        <v>2230.3</v>
      </c>
    </row>
    <row r="363" spans="1:8" ht="30">
      <c r="A363" s="99" t="s">
        <v>212</v>
      </c>
      <c r="B363" s="94" t="s">
        <v>178</v>
      </c>
      <c r="C363" s="94" t="s">
        <v>46</v>
      </c>
      <c r="D363" s="94" t="s">
        <v>38</v>
      </c>
      <c r="E363" s="94" t="s">
        <v>211</v>
      </c>
      <c r="F363" s="93"/>
      <c r="G363" s="92">
        <f>G364</f>
        <v>2087.2</v>
      </c>
      <c r="H363" s="92">
        <f>H364</f>
        <v>2087.2</v>
      </c>
    </row>
    <row r="364" spans="1:8" ht="45">
      <c r="A364" s="99" t="s">
        <v>266</v>
      </c>
      <c r="B364" s="94" t="s">
        <v>178</v>
      </c>
      <c r="C364" s="94" t="s">
        <v>46</v>
      </c>
      <c r="D364" s="94" t="s">
        <v>38</v>
      </c>
      <c r="E364" s="94" t="s">
        <v>265</v>
      </c>
      <c r="F364" s="93"/>
      <c r="G364" s="92">
        <f>G365+G367+G368+G366</f>
        <v>2087.2</v>
      </c>
      <c r="H364" s="92">
        <f>H365+H367+H368+H366</f>
        <v>2087.2</v>
      </c>
    </row>
    <row r="365" spans="1:8" ht="15">
      <c r="A365" s="98" t="s">
        <v>124</v>
      </c>
      <c r="B365" s="94" t="s">
        <v>178</v>
      </c>
      <c r="C365" s="94" t="s">
        <v>46</v>
      </c>
      <c r="D365" s="94" t="s">
        <v>38</v>
      </c>
      <c r="E365" s="94" t="s">
        <v>265</v>
      </c>
      <c r="F365" s="93" t="s">
        <v>131</v>
      </c>
      <c r="G365" s="92">
        <v>1820</v>
      </c>
      <c r="H365" s="92">
        <v>1820</v>
      </c>
    </row>
    <row r="366" spans="1:8" ht="30">
      <c r="A366" s="98" t="s">
        <v>122</v>
      </c>
      <c r="B366" s="94" t="s">
        <v>178</v>
      </c>
      <c r="C366" s="94" t="s">
        <v>46</v>
      </c>
      <c r="D366" s="94" t="s">
        <v>38</v>
      </c>
      <c r="E366" s="94" t="s">
        <v>265</v>
      </c>
      <c r="F366" s="93" t="s">
        <v>130</v>
      </c>
      <c r="G366" s="92">
        <v>1</v>
      </c>
      <c r="H366" s="92">
        <v>1</v>
      </c>
    </row>
    <row r="367" spans="1:8" ht="30">
      <c r="A367" s="98" t="s">
        <v>120</v>
      </c>
      <c r="B367" s="94" t="s">
        <v>178</v>
      </c>
      <c r="C367" s="94" t="s">
        <v>46</v>
      </c>
      <c r="D367" s="94" t="s">
        <v>38</v>
      </c>
      <c r="E367" s="94" t="s">
        <v>265</v>
      </c>
      <c r="F367" s="93" t="s">
        <v>119</v>
      </c>
      <c r="G367" s="92">
        <v>40</v>
      </c>
      <c r="H367" s="92">
        <v>40</v>
      </c>
    </row>
    <row r="368" spans="1:8" ht="30">
      <c r="A368" s="96" t="s">
        <v>118</v>
      </c>
      <c r="B368" s="94" t="s">
        <v>178</v>
      </c>
      <c r="C368" s="94" t="s">
        <v>46</v>
      </c>
      <c r="D368" s="94" t="s">
        <v>38</v>
      </c>
      <c r="E368" s="94" t="s">
        <v>265</v>
      </c>
      <c r="F368" s="93" t="s">
        <v>117</v>
      </c>
      <c r="G368" s="92">
        <v>226.2</v>
      </c>
      <c r="H368" s="92">
        <v>226.2</v>
      </c>
    </row>
    <row r="369" spans="1:8" ht="30">
      <c r="A369" s="96" t="s">
        <v>111</v>
      </c>
      <c r="B369" s="94" t="s">
        <v>178</v>
      </c>
      <c r="C369" s="94" t="s">
        <v>46</v>
      </c>
      <c r="D369" s="94" t="s">
        <v>38</v>
      </c>
      <c r="E369" s="94" t="s">
        <v>110</v>
      </c>
      <c r="F369" s="93"/>
      <c r="G369" s="92">
        <f>G370+G372+G374</f>
        <v>4130</v>
      </c>
      <c r="H369" s="92">
        <f>H370+H372+H374</f>
        <v>4630</v>
      </c>
    </row>
    <row r="370" spans="1:8" ht="30">
      <c r="A370" s="96" t="s">
        <v>264</v>
      </c>
      <c r="B370" s="94" t="s">
        <v>178</v>
      </c>
      <c r="C370" s="94" t="s">
        <v>46</v>
      </c>
      <c r="D370" s="94" t="s">
        <v>38</v>
      </c>
      <c r="E370" s="94" t="s">
        <v>263</v>
      </c>
      <c r="F370" s="93"/>
      <c r="G370" s="92">
        <v>4000</v>
      </c>
      <c r="H370" s="92">
        <v>4500</v>
      </c>
    </row>
    <row r="371" spans="1:8" ht="15">
      <c r="A371" s="120" t="s">
        <v>262</v>
      </c>
      <c r="B371" s="94"/>
      <c r="C371" s="94"/>
      <c r="D371" s="94"/>
      <c r="E371" s="94"/>
      <c r="F371" s="93"/>
      <c r="G371" s="92"/>
      <c r="H371" s="92"/>
    </row>
    <row r="372" spans="1:8" ht="30">
      <c r="A372" s="96" t="s">
        <v>545</v>
      </c>
      <c r="B372" s="94" t="s">
        <v>178</v>
      </c>
      <c r="C372" s="94" t="s">
        <v>46</v>
      </c>
      <c r="D372" s="94" t="s">
        <v>38</v>
      </c>
      <c r="E372" s="100" t="s">
        <v>544</v>
      </c>
      <c r="F372" s="93"/>
      <c r="G372" s="92">
        <f>G373</f>
        <v>30</v>
      </c>
      <c r="H372" s="92">
        <f>H373</f>
        <v>30</v>
      </c>
    </row>
    <row r="373" spans="1:8" ht="30">
      <c r="A373" s="96" t="s">
        <v>118</v>
      </c>
      <c r="B373" s="94" t="s">
        <v>178</v>
      </c>
      <c r="C373" s="94" t="s">
        <v>46</v>
      </c>
      <c r="D373" s="94" t="s">
        <v>38</v>
      </c>
      <c r="E373" s="100" t="s">
        <v>544</v>
      </c>
      <c r="F373" s="93" t="s">
        <v>117</v>
      </c>
      <c r="G373" s="92">
        <v>30</v>
      </c>
      <c r="H373" s="92">
        <v>30</v>
      </c>
    </row>
    <row r="374" spans="1:8" ht="60">
      <c r="A374" s="167" t="s">
        <v>136</v>
      </c>
      <c r="B374" s="94" t="s">
        <v>178</v>
      </c>
      <c r="C374" s="94" t="s">
        <v>46</v>
      </c>
      <c r="D374" s="94" t="s">
        <v>38</v>
      </c>
      <c r="E374" s="100" t="s">
        <v>135</v>
      </c>
      <c r="F374" s="93"/>
      <c r="G374" s="92">
        <f>G375</f>
        <v>100</v>
      </c>
      <c r="H374" s="92">
        <f>H375</f>
        <v>100</v>
      </c>
    </row>
    <row r="375" spans="1:8" ht="30">
      <c r="A375" s="116" t="s">
        <v>543</v>
      </c>
      <c r="B375" s="94" t="s">
        <v>178</v>
      </c>
      <c r="C375" s="94" t="s">
        <v>46</v>
      </c>
      <c r="D375" s="94" t="s">
        <v>38</v>
      </c>
      <c r="E375" s="100" t="s">
        <v>135</v>
      </c>
      <c r="F375" s="93" t="s">
        <v>117</v>
      </c>
      <c r="G375" s="92">
        <v>100</v>
      </c>
      <c r="H375" s="92">
        <v>100</v>
      </c>
    </row>
    <row r="376" spans="1:8" ht="15">
      <c r="A376" s="96" t="s">
        <v>214</v>
      </c>
      <c r="B376" s="94" t="s">
        <v>178</v>
      </c>
      <c r="C376" s="94" t="s">
        <v>30</v>
      </c>
      <c r="D376" s="94"/>
      <c r="E376" s="94"/>
      <c r="F376" s="93"/>
      <c r="G376" s="92">
        <f>G377</f>
        <v>514.3</v>
      </c>
      <c r="H376" s="92">
        <f>H377</f>
        <v>514.3</v>
      </c>
    </row>
    <row r="377" spans="1:8" ht="15">
      <c r="A377" s="96" t="s">
        <v>27</v>
      </c>
      <c r="B377" s="94" t="s">
        <v>178</v>
      </c>
      <c r="C377" s="94" t="s">
        <v>30</v>
      </c>
      <c r="D377" s="94" t="s">
        <v>28</v>
      </c>
      <c r="E377" s="94"/>
      <c r="F377" s="93"/>
      <c r="G377" s="92">
        <f>G378</f>
        <v>514.3</v>
      </c>
      <c r="H377" s="92">
        <f>H378</f>
        <v>514.3</v>
      </c>
    </row>
    <row r="378" spans="1:8" ht="105">
      <c r="A378" s="99" t="s">
        <v>213</v>
      </c>
      <c r="B378" s="94" t="s">
        <v>178</v>
      </c>
      <c r="C378" s="94" t="s">
        <v>30</v>
      </c>
      <c r="D378" s="94" t="s">
        <v>28</v>
      </c>
      <c r="E378" s="94" t="s">
        <v>195</v>
      </c>
      <c r="F378" s="97"/>
      <c r="G378" s="92">
        <f>G379</f>
        <v>514.3</v>
      </c>
      <c r="H378" s="92">
        <f>H379</f>
        <v>514.3</v>
      </c>
    </row>
    <row r="379" spans="1:8" ht="30">
      <c r="A379" s="99" t="s">
        <v>212</v>
      </c>
      <c r="B379" s="94" t="s">
        <v>178</v>
      </c>
      <c r="C379" s="94" t="s">
        <v>30</v>
      </c>
      <c r="D379" s="94" t="s">
        <v>28</v>
      </c>
      <c r="E379" s="94" t="s">
        <v>211</v>
      </c>
      <c r="F379" s="97"/>
      <c r="G379" s="92">
        <f>G380</f>
        <v>514.3</v>
      </c>
      <c r="H379" s="92">
        <f>H380</f>
        <v>514.3</v>
      </c>
    </row>
    <row r="380" spans="1:8" ht="120">
      <c r="A380" s="99" t="s">
        <v>210</v>
      </c>
      <c r="B380" s="94" t="s">
        <v>178</v>
      </c>
      <c r="C380" s="94" t="s">
        <v>30</v>
      </c>
      <c r="D380" s="94" t="s">
        <v>28</v>
      </c>
      <c r="E380" s="94" t="s">
        <v>209</v>
      </c>
      <c r="F380" s="97"/>
      <c r="G380" s="92">
        <f>G381+G382</f>
        <v>514.3</v>
      </c>
      <c r="H380" s="92">
        <f>H381+H382</f>
        <v>514.3</v>
      </c>
    </row>
    <row r="381" spans="1:8" ht="15">
      <c r="A381" s="98" t="s">
        <v>124</v>
      </c>
      <c r="B381" s="94" t="s">
        <v>178</v>
      </c>
      <c r="C381" s="94" t="s">
        <v>30</v>
      </c>
      <c r="D381" s="94" t="s">
        <v>28</v>
      </c>
      <c r="E381" s="94" t="s">
        <v>209</v>
      </c>
      <c r="F381" s="97" t="s">
        <v>131</v>
      </c>
      <c r="G381" s="92">
        <v>404.3</v>
      </c>
      <c r="H381" s="92">
        <v>404.3</v>
      </c>
    </row>
    <row r="382" spans="1:8" ht="30">
      <c r="A382" s="96" t="s">
        <v>118</v>
      </c>
      <c r="B382" s="94" t="s">
        <v>178</v>
      </c>
      <c r="C382" s="94" t="s">
        <v>30</v>
      </c>
      <c r="D382" s="94" t="s">
        <v>28</v>
      </c>
      <c r="E382" s="94" t="s">
        <v>209</v>
      </c>
      <c r="F382" s="97" t="s">
        <v>117</v>
      </c>
      <c r="G382" s="92">
        <v>110</v>
      </c>
      <c r="H382" s="92">
        <v>110</v>
      </c>
    </row>
    <row r="383" spans="1:8" ht="15">
      <c r="A383" s="116" t="s">
        <v>208</v>
      </c>
      <c r="B383" s="94" t="s">
        <v>178</v>
      </c>
      <c r="C383" s="94" t="s">
        <v>26</v>
      </c>
      <c r="D383" s="94"/>
      <c r="E383" s="94"/>
      <c r="F383" s="93"/>
      <c r="G383" s="92">
        <f>G384+G388</f>
        <v>35656.100000000006</v>
      </c>
      <c r="H383" s="92">
        <f>H384+H388</f>
        <v>38371.200000000004</v>
      </c>
    </row>
    <row r="384" spans="1:8" ht="15">
      <c r="A384" s="96" t="s">
        <v>21</v>
      </c>
      <c r="B384" s="94" t="s">
        <v>178</v>
      </c>
      <c r="C384" s="94" t="s">
        <v>26</v>
      </c>
      <c r="D384" s="94" t="s">
        <v>22</v>
      </c>
      <c r="E384" s="94"/>
      <c r="F384" s="93"/>
      <c r="G384" s="92">
        <f>G385</f>
        <v>150</v>
      </c>
      <c r="H384" s="92">
        <f>H385</f>
        <v>150</v>
      </c>
    </row>
    <row r="385" spans="1:8" ht="30">
      <c r="A385" s="96" t="s">
        <v>111</v>
      </c>
      <c r="B385" s="94" t="s">
        <v>178</v>
      </c>
      <c r="C385" s="94" t="s">
        <v>26</v>
      </c>
      <c r="D385" s="94" t="s">
        <v>22</v>
      </c>
      <c r="E385" s="94" t="s">
        <v>207</v>
      </c>
      <c r="F385" s="93"/>
      <c r="G385" s="92">
        <f>G386</f>
        <v>150</v>
      </c>
      <c r="H385" s="92">
        <f>H386</f>
        <v>150</v>
      </c>
    </row>
    <row r="386" spans="1:8" ht="45">
      <c r="A386" s="166" t="s">
        <v>542</v>
      </c>
      <c r="B386" s="94" t="s">
        <v>178</v>
      </c>
      <c r="C386" s="94" t="s">
        <v>26</v>
      </c>
      <c r="D386" s="94" t="s">
        <v>22</v>
      </c>
      <c r="E386" s="94" t="s">
        <v>205</v>
      </c>
      <c r="F386" s="93"/>
      <c r="G386" s="92">
        <f>G387</f>
        <v>150</v>
      </c>
      <c r="H386" s="92">
        <f>H387</f>
        <v>150</v>
      </c>
    </row>
    <row r="387" spans="1:8" ht="30">
      <c r="A387" s="99" t="s">
        <v>191</v>
      </c>
      <c r="B387" s="94" t="s">
        <v>178</v>
      </c>
      <c r="C387" s="94" t="s">
        <v>26</v>
      </c>
      <c r="D387" s="94" t="s">
        <v>22</v>
      </c>
      <c r="E387" s="94" t="s">
        <v>205</v>
      </c>
      <c r="F387" s="93" t="s">
        <v>189</v>
      </c>
      <c r="G387" s="92">
        <v>150</v>
      </c>
      <c r="H387" s="92">
        <v>150</v>
      </c>
    </row>
    <row r="388" spans="1:8" ht="15">
      <c r="A388" s="96" t="s">
        <v>19</v>
      </c>
      <c r="B388" s="94" t="s">
        <v>178</v>
      </c>
      <c r="C388" s="94" t="s">
        <v>26</v>
      </c>
      <c r="D388" s="94" t="s">
        <v>20</v>
      </c>
      <c r="E388" s="94"/>
      <c r="F388" s="93"/>
      <c r="G388" s="92">
        <f>G389+G394+G397</f>
        <v>35506.100000000006</v>
      </c>
      <c r="H388" s="92">
        <f>H389+H394+H397</f>
        <v>38221.200000000004</v>
      </c>
    </row>
    <row r="389" spans="1:8" ht="30">
      <c r="A389" s="115" t="s">
        <v>204</v>
      </c>
      <c r="B389" s="94" t="s">
        <v>178</v>
      </c>
      <c r="C389" s="94" t="s">
        <v>26</v>
      </c>
      <c r="D389" s="94" t="s">
        <v>20</v>
      </c>
      <c r="E389" s="108" t="s">
        <v>203</v>
      </c>
      <c r="F389" s="93"/>
      <c r="G389" s="92">
        <f>G390+G392</f>
        <v>31403.800000000003</v>
      </c>
      <c r="H389" s="92">
        <f>H390+H392</f>
        <v>33831.8</v>
      </c>
    </row>
    <row r="390" spans="1:8" ht="75">
      <c r="A390" s="115" t="s">
        <v>202</v>
      </c>
      <c r="B390" s="94" t="s">
        <v>178</v>
      </c>
      <c r="C390" s="94" t="s">
        <v>26</v>
      </c>
      <c r="D390" s="94" t="s">
        <v>20</v>
      </c>
      <c r="E390" s="108" t="s">
        <v>200</v>
      </c>
      <c r="F390" s="93"/>
      <c r="G390" s="92">
        <f>G391</f>
        <v>13665.4</v>
      </c>
      <c r="H390" s="92">
        <f>H391</f>
        <v>13665.4</v>
      </c>
    </row>
    <row r="391" spans="1:8" ht="45">
      <c r="A391" s="96" t="s">
        <v>201</v>
      </c>
      <c r="B391" s="94" t="s">
        <v>178</v>
      </c>
      <c r="C391" s="94" t="s">
        <v>26</v>
      </c>
      <c r="D391" s="94" t="s">
        <v>20</v>
      </c>
      <c r="E391" s="108" t="s">
        <v>200</v>
      </c>
      <c r="F391" s="93" t="s">
        <v>199</v>
      </c>
      <c r="G391" s="92">
        <v>13665.4</v>
      </c>
      <c r="H391" s="92">
        <v>13665.4</v>
      </c>
    </row>
    <row r="392" spans="1:8" ht="45">
      <c r="A392" s="96" t="s">
        <v>198</v>
      </c>
      <c r="B392" s="94" t="s">
        <v>178</v>
      </c>
      <c r="C392" s="94" t="s">
        <v>26</v>
      </c>
      <c r="D392" s="94" t="s">
        <v>20</v>
      </c>
      <c r="E392" s="108" t="s">
        <v>197</v>
      </c>
      <c r="F392" s="93"/>
      <c r="G392" s="92">
        <f>G393</f>
        <v>17738.4</v>
      </c>
      <c r="H392" s="92">
        <f>H393</f>
        <v>20166.4</v>
      </c>
    </row>
    <row r="393" spans="1:8" ht="30">
      <c r="A393" s="96" t="s">
        <v>191</v>
      </c>
      <c r="B393" s="94" t="s">
        <v>178</v>
      </c>
      <c r="C393" s="94" t="s">
        <v>26</v>
      </c>
      <c r="D393" s="94" t="s">
        <v>20</v>
      </c>
      <c r="E393" s="108" t="s">
        <v>197</v>
      </c>
      <c r="F393" s="93" t="s">
        <v>189</v>
      </c>
      <c r="G393" s="92">
        <v>17738.4</v>
      </c>
      <c r="H393" s="92">
        <v>20166.4</v>
      </c>
    </row>
    <row r="394" spans="1:8" ht="105">
      <c r="A394" s="96" t="s">
        <v>196</v>
      </c>
      <c r="B394" s="94" t="s">
        <v>178</v>
      </c>
      <c r="C394" s="94" t="s">
        <v>26</v>
      </c>
      <c r="D394" s="94" t="s">
        <v>20</v>
      </c>
      <c r="E394" s="113" t="s">
        <v>195</v>
      </c>
      <c r="F394" s="93"/>
      <c r="G394" s="92">
        <f>G395</f>
        <v>37.2</v>
      </c>
      <c r="H394" s="92">
        <f>H395</f>
        <v>39.800000000000004</v>
      </c>
    </row>
    <row r="395" spans="1:8" ht="45">
      <c r="A395" s="96" t="s">
        <v>194</v>
      </c>
      <c r="B395" s="94" t="s">
        <v>178</v>
      </c>
      <c r="C395" s="94" t="s">
        <v>26</v>
      </c>
      <c r="D395" s="94" t="s">
        <v>20</v>
      </c>
      <c r="E395" s="113" t="s">
        <v>193</v>
      </c>
      <c r="F395" s="114"/>
      <c r="G395" s="92">
        <f>G396</f>
        <v>37.2</v>
      </c>
      <c r="H395" s="92">
        <f>H396</f>
        <v>39.800000000000004</v>
      </c>
    </row>
    <row r="396" spans="1:8" ht="30">
      <c r="A396" s="99" t="s">
        <v>191</v>
      </c>
      <c r="B396" s="94" t="s">
        <v>178</v>
      </c>
      <c r="C396" s="94" t="s">
        <v>26</v>
      </c>
      <c r="D396" s="94" t="s">
        <v>20</v>
      </c>
      <c r="E396" s="113" t="s">
        <v>193</v>
      </c>
      <c r="F396" s="112" t="s">
        <v>189</v>
      </c>
      <c r="G396" s="92">
        <f>34.6+2.6</f>
        <v>37.2</v>
      </c>
      <c r="H396" s="92">
        <f>34.6+5.2</f>
        <v>39.800000000000004</v>
      </c>
    </row>
    <row r="397" spans="1:8" ht="75">
      <c r="A397" s="99" t="s">
        <v>192</v>
      </c>
      <c r="B397" s="94" t="s">
        <v>178</v>
      </c>
      <c r="C397" s="94" t="s">
        <v>26</v>
      </c>
      <c r="D397" s="94" t="s">
        <v>20</v>
      </c>
      <c r="E397" s="113" t="s">
        <v>190</v>
      </c>
      <c r="F397" s="112"/>
      <c r="G397" s="92">
        <f>G398</f>
        <v>4065.1000000000004</v>
      </c>
      <c r="H397" s="92">
        <f>H398</f>
        <v>4349.6</v>
      </c>
    </row>
    <row r="398" spans="1:8" ht="30">
      <c r="A398" s="99" t="s">
        <v>191</v>
      </c>
      <c r="B398" s="94" t="s">
        <v>178</v>
      </c>
      <c r="C398" s="94" t="s">
        <v>26</v>
      </c>
      <c r="D398" s="94" t="s">
        <v>20</v>
      </c>
      <c r="E398" s="113" t="s">
        <v>190</v>
      </c>
      <c r="F398" s="112" t="s">
        <v>189</v>
      </c>
      <c r="G398" s="92">
        <f>4677.1-612</f>
        <v>4065.1000000000004</v>
      </c>
      <c r="H398" s="92">
        <f>4677.1-327.5</f>
        <v>4349.6</v>
      </c>
    </row>
    <row r="399" spans="1:8" ht="15">
      <c r="A399" s="96" t="s">
        <v>113</v>
      </c>
      <c r="B399" s="94" t="s">
        <v>178</v>
      </c>
      <c r="C399" s="94" t="s">
        <v>16</v>
      </c>
      <c r="D399" s="94"/>
      <c r="E399" s="94"/>
      <c r="F399" s="93"/>
      <c r="G399" s="92">
        <f>G400</f>
        <v>2200</v>
      </c>
      <c r="H399" s="92">
        <f>H400</f>
        <v>0</v>
      </c>
    </row>
    <row r="400" spans="1:8" ht="30">
      <c r="A400" s="96" t="s">
        <v>111</v>
      </c>
      <c r="B400" s="94" t="s">
        <v>178</v>
      </c>
      <c r="C400" s="94" t="s">
        <v>16</v>
      </c>
      <c r="D400" s="94" t="s">
        <v>14</v>
      </c>
      <c r="E400" s="94" t="s">
        <v>110</v>
      </c>
      <c r="F400" s="93"/>
      <c r="G400" s="92">
        <f>G401</f>
        <v>2200</v>
      </c>
      <c r="H400" s="92">
        <f>H401</f>
        <v>0</v>
      </c>
    </row>
    <row r="401" spans="1:8" ht="45">
      <c r="A401" s="145" t="s">
        <v>541</v>
      </c>
      <c r="B401" s="94" t="s">
        <v>178</v>
      </c>
      <c r="C401" s="94" t="s">
        <v>16</v>
      </c>
      <c r="D401" s="94" t="s">
        <v>14</v>
      </c>
      <c r="E401" s="94" t="s">
        <v>108</v>
      </c>
      <c r="F401" s="93"/>
      <c r="G401" s="92">
        <f>G402</f>
        <v>2200</v>
      </c>
      <c r="H401" s="92">
        <f>H402</f>
        <v>0</v>
      </c>
    </row>
    <row r="402" spans="1:8" ht="45">
      <c r="A402" s="96" t="s">
        <v>540</v>
      </c>
      <c r="B402" s="94" t="s">
        <v>178</v>
      </c>
      <c r="C402" s="94" t="s">
        <v>16</v>
      </c>
      <c r="D402" s="94" t="s">
        <v>14</v>
      </c>
      <c r="E402" s="94" t="s">
        <v>187</v>
      </c>
      <c r="F402" s="93"/>
      <c r="G402" s="92">
        <f>G403+G404</f>
        <v>2200</v>
      </c>
      <c r="H402" s="92">
        <f>H403+H404</f>
        <v>0</v>
      </c>
    </row>
    <row r="403" spans="1:8" ht="30">
      <c r="A403" s="96" t="s">
        <v>118</v>
      </c>
      <c r="B403" s="94" t="s">
        <v>178</v>
      </c>
      <c r="C403" s="94" t="s">
        <v>16</v>
      </c>
      <c r="D403" s="94" t="s">
        <v>14</v>
      </c>
      <c r="E403" s="94" t="s">
        <v>186</v>
      </c>
      <c r="F403" s="93" t="s">
        <v>117</v>
      </c>
      <c r="G403" s="92">
        <v>0</v>
      </c>
      <c r="H403" s="92">
        <v>0</v>
      </c>
    </row>
    <row r="404" spans="1:8" ht="30">
      <c r="A404" s="99" t="s">
        <v>106</v>
      </c>
      <c r="B404" s="94" t="s">
        <v>178</v>
      </c>
      <c r="C404" s="94" t="s">
        <v>16</v>
      </c>
      <c r="D404" s="94" t="s">
        <v>14</v>
      </c>
      <c r="E404" s="94" t="s">
        <v>186</v>
      </c>
      <c r="F404" s="93" t="s">
        <v>103</v>
      </c>
      <c r="G404" s="92">
        <v>2200</v>
      </c>
      <c r="H404" s="92"/>
    </row>
    <row r="405" spans="1:8" ht="42.75">
      <c r="A405" s="111" t="s">
        <v>176</v>
      </c>
      <c r="B405" s="110" t="s">
        <v>105</v>
      </c>
      <c r="C405" s="94"/>
      <c r="D405" s="94"/>
      <c r="E405" s="108"/>
      <c r="F405" s="93"/>
      <c r="G405" s="109">
        <f>G406+G411</f>
        <v>87726.1</v>
      </c>
      <c r="H405" s="109">
        <f>H406+H411</f>
        <v>91120.7</v>
      </c>
    </row>
    <row r="406" spans="1:8" ht="15">
      <c r="A406" s="96" t="s">
        <v>172</v>
      </c>
      <c r="B406" s="94" t="s">
        <v>105</v>
      </c>
      <c r="C406" s="94" t="s">
        <v>46</v>
      </c>
      <c r="D406" s="106"/>
      <c r="E406" s="100"/>
      <c r="F406" s="93"/>
      <c r="G406" s="92">
        <f>G407</f>
        <v>27592</v>
      </c>
      <c r="H406" s="92">
        <f>H407</f>
        <v>29138</v>
      </c>
    </row>
    <row r="407" spans="1:8" ht="15">
      <c r="A407" s="96" t="s">
        <v>41</v>
      </c>
      <c r="B407" s="94" t="s">
        <v>105</v>
      </c>
      <c r="C407" s="94" t="s">
        <v>46</v>
      </c>
      <c r="D407" s="94" t="s">
        <v>42</v>
      </c>
      <c r="E407" s="94"/>
      <c r="F407" s="93"/>
      <c r="G407" s="92">
        <f>G408</f>
        <v>27592</v>
      </c>
      <c r="H407" s="92">
        <f>H408</f>
        <v>29138</v>
      </c>
    </row>
    <row r="408" spans="1:8" ht="15">
      <c r="A408" s="96" t="s">
        <v>171</v>
      </c>
      <c r="B408" s="94" t="s">
        <v>105</v>
      </c>
      <c r="C408" s="94" t="s">
        <v>46</v>
      </c>
      <c r="D408" s="94" t="s">
        <v>42</v>
      </c>
      <c r="E408" s="94" t="s">
        <v>170</v>
      </c>
      <c r="F408" s="93"/>
      <c r="G408" s="92">
        <f>G409</f>
        <v>27592</v>
      </c>
      <c r="H408" s="92">
        <f>H409</f>
        <v>29138</v>
      </c>
    </row>
    <row r="409" spans="1:8" ht="30">
      <c r="A409" s="96" t="s">
        <v>125</v>
      </c>
      <c r="B409" s="94" t="s">
        <v>105</v>
      </c>
      <c r="C409" s="94" t="s">
        <v>46</v>
      </c>
      <c r="D409" s="94" t="s">
        <v>42</v>
      </c>
      <c r="E409" s="94" t="s">
        <v>169</v>
      </c>
      <c r="F409" s="93"/>
      <c r="G409" s="92">
        <f>G410</f>
        <v>27592</v>
      </c>
      <c r="H409" s="92">
        <f>H410</f>
        <v>29138</v>
      </c>
    </row>
    <row r="410" spans="1:8" ht="60">
      <c r="A410" s="98" t="s">
        <v>161</v>
      </c>
      <c r="B410" s="94" t="s">
        <v>105</v>
      </c>
      <c r="C410" s="94" t="s">
        <v>46</v>
      </c>
      <c r="D410" s="94" t="s">
        <v>42</v>
      </c>
      <c r="E410" s="94" t="s">
        <v>169</v>
      </c>
      <c r="F410" s="93" t="s">
        <v>159</v>
      </c>
      <c r="G410" s="92">
        <f>31592-4000</f>
        <v>27592</v>
      </c>
      <c r="H410" s="92">
        <f>39138-10000</f>
        <v>29138</v>
      </c>
    </row>
    <row r="411" spans="1:8" ht="15">
      <c r="A411" s="98" t="s">
        <v>167</v>
      </c>
      <c r="B411" s="94" t="s">
        <v>105</v>
      </c>
      <c r="C411" s="94" t="s">
        <v>36</v>
      </c>
      <c r="D411" s="94"/>
      <c r="E411" s="94"/>
      <c r="F411" s="93"/>
      <c r="G411" s="92">
        <f>G412+G428</f>
        <v>60134.100000000006</v>
      </c>
      <c r="H411" s="92">
        <f>H412+H428</f>
        <v>61982.7</v>
      </c>
    </row>
    <row r="412" spans="1:8" ht="15">
      <c r="A412" s="98" t="s">
        <v>166</v>
      </c>
      <c r="B412" s="94" t="s">
        <v>105</v>
      </c>
      <c r="C412" s="94" t="s">
        <v>36</v>
      </c>
      <c r="D412" s="94" t="s">
        <v>34</v>
      </c>
      <c r="E412" s="94"/>
      <c r="F412" s="105"/>
      <c r="G412" s="92">
        <f>G413+G418+G420+G423</f>
        <v>50363.100000000006</v>
      </c>
      <c r="H412" s="92">
        <f>H413+H418+H420+H423</f>
        <v>51735.7</v>
      </c>
    </row>
    <row r="413" spans="1:8" ht="30">
      <c r="A413" s="96" t="s">
        <v>165</v>
      </c>
      <c r="B413" s="94" t="s">
        <v>105</v>
      </c>
      <c r="C413" s="94" t="s">
        <v>36</v>
      </c>
      <c r="D413" s="94" t="s">
        <v>34</v>
      </c>
      <c r="E413" s="94" t="s">
        <v>164</v>
      </c>
      <c r="F413" s="93"/>
      <c r="G413" s="92">
        <f>G414+G416</f>
        <v>24422.100000000002</v>
      </c>
      <c r="H413" s="92">
        <f>H414+H416</f>
        <v>26815.7</v>
      </c>
    </row>
    <row r="414" spans="1:8" ht="45">
      <c r="A414" s="96" t="s">
        <v>163</v>
      </c>
      <c r="B414" s="94" t="s">
        <v>105</v>
      </c>
      <c r="C414" s="94" t="s">
        <v>36</v>
      </c>
      <c r="D414" s="94" t="s">
        <v>34</v>
      </c>
      <c r="E414" s="94" t="s">
        <v>162</v>
      </c>
      <c r="F414" s="93"/>
      <c r="G414" s="92">
        <f>G415</f>
        <v>132.7</v>
      </c>
      <c r="H414" s="92">
        <f>H415</f>
        <v>132.7</v>
      </c>
    </row>
    <row r="415" spans="1:8" ht="30">
      <c r="A415" s="102" t="s">
        <v>139</v>
      </c>
      <c r="B415" s="94" t="s">
        <v>105</v>
      </c>
      <c r="C415" s="94" t="s">
        <v>36</v>
      </c>
      <c r="D415" s="94" t="s">
        <v>34</v>
      </c>
      <c r="E415" s="94" t="s">
        <v>162</v>
      </c>
      <c r="F415" s="93" t="s">
        <v>138</v>
      </c>
      <c r="G415" s="92">
        <v>132.7</v>
      </c>
      <c r="H415" s="92">
        <v>132.7</v>
      </c>
    </row>
    <row r="416" spans="1:8" ht="30">
      <c r="A416" s="96" t="s">
        <v>125</v>
      </c>
      <c r="B416" s="94" t="s">
        <v>105</v>
      </c>
      <c r="C416" s="94" t="s">
        <v>36</v>
      </c>
      <c r="D416" s="94" t="s">
        <v>34</v>
      </c>
      <c r="E416" s="94" t="s">
        <v>160</v>
      </c>
      <c r="F416" s="93"/>
      <c r="G416" s="92">
        <f>G417</f>
        <v>24289.4</v>
      </c>
      <c r="H416" s="92">
        <f>H417</f>
        <v>26683</v>
      </c>
    </row>
    <row r="417" spans="1:8" ht="60">
      <c r="A417" s="98" t="s">
        <v>161</v>
      </c>
      <c r="B417" s="94" t="s">
        <v>105</v>
      </c>
      <c r="C417" s="94" t="s">
        <v>36</v>
      </c>
      <c r="D417" s="94" t="s">
        <v>34</v>
      </c>
      <c r="E417" s="94" t="s">
        <v>160</v>
      </c>
      <c r="F417" s="93" t="s">
        <v>159</v>
      </c>
      <c r="G417" s="92">
        <f>26361-2071.6</f>
        <v>24289.4</v>
      </c>
      <c r="H417" s="92">
        <f>31683-5000</f>
        <v>26683</v>
      </c>
    </row>
    <row r="418" spans="1:8" ht="15">
      <c r="A418" s="96" t="s">
        <v>157</v>
      </c>
      <c r="B418" s="94" t="s">
        <v>105</v>
      </c>
      <c r="C418" s="94" t="s">
        <v>36</v>
      </c>
      <c r="D418" s="94" t="s">
        <v>34</v>
      </c>
      <c r="E418" s="94" t="s">
        <v>156</v>
      </c>
      <c r="F418" s="93"/>
      <c r="G418" s="92">
        <f>G419</f>
        <v>3849</v>
      </c>
      <c r="H418" s="92">
        <f>H419</f>
        <v>4741</v>
      </c>
    </row>
    <row r="419" spans="1:8" ht="30">
      <c r="A419" s="96" t="s">
        <v>125</v>
      </c>
      <c r="B419" s="94" t="s">
        <v>105</v>
      </c>
      <c r="C419" s="94" t="s">
        <v>36</v>
      </c>
      <c r="D419" s="94" t="s">
        <v>34</v>
      </c>
      <c r="E419" s="94" t="s">
        <v>155</v>
      </c>
      <c r="F419" s="93"/>
      <c r="G419" s="92">
        <v>3849</v>
      </c>
      <c r="H419" s="92">
        <v>4741</v>
      </c>
    </row>
    <row r="420" spans="1:8" ht="15">
      <c r="A420" s="96" t="s">
        <v>153</v>
      </c>
      <c r="B420" s="94" t="s">
        <v>105</v>
      </c>
      <c r="C420" s="94" t="s">
        <v>36</v>
      </c>
      <c r="D420" s="94" t="s">
        <v>34</v>
      </c>
      <c r="E420" s="94" t="s">
        <v>152</v>
      </c>
      <c r="F420" s="93"/>
      <c r="G420" s="92">
        <f>G421</f>
        <v>14092</v>
      </c>
      <c r="H420" s="92">
        <f>H421</f>
        <v>14179</v>
      </c>
    </row>
    <row r="421" spans="1:8" ht="30">
      <c r="A421" s="96" t="s">
        <v>125</v>
      </c>
      <c r="B421" s="94" t="s">
        <v>105</v>
      </c>
      <c r="C421" s="94" t="s">
        <v>36</v>
      </c>
      <c r="D421" s="94" t="s">
        <v>34</v>
      </c>
      <c r="E421" s="94" t="s">
        <v>150</v>
      </c>
      <c r="F421" s="93"/>
      <c r="G421" s="92">
        <f>G422</f>
        <v>14092</v>
      </c>
      <c r="H421" s="92">
        <f>H422</f>
        <v>14179</v>
      </c>
    </row>
    <row r="422" spans="1:8" ht="60">
      <c r="A422" s="98" t="s">
        <v>151</v>
      </c>
      <c r="B422" s="94" t="s">
        <v>105</v>
      </c>
      <c r="C422" s="94" t="s">
        <v>36</v>
      </c>
      <c r="D422" s="94" t="s">
        <v>34</v>
      </c>
      <c r="E422" s="94" t="s">
        <v>150</v>
      </c>
      <c r="F422" s="93" t="s">
        <v>144</v>
      </c>
      <c r="G422" s="92">
        <v>14092</v>
      </c>
      <c r="H422" s="92">
        <f>17179-3000</f>
        <v>14179</v>
      </c>
    </row>
    <row r="423" spans="1:8" ht="30">
      <c r="A423" s="96" t="s">
        <v>111</v>
      </c>
      <c r="B423" s="94" t="s">
        <v>105</v>
      </c>
      <c r="C423" s="94" t="s">
        <v>36</v>
      </c>
      <c r="D423" s="94" t="s">
        <v>34</v>
      </c>
      <c r="E423" s="94" t="s">
        <v>110</v>
      </c>
      <c r="F423" s="93"/>
      <c r="G423" s="92">
        <f>G424</f>
        <v>8000</v>
      </c>
      <c r="H423" s="92">
        <f>H424</f>
        <v>6000</v>
      </c>
    </row>
    <row r="424" spans="1:8" ht="30">
      <c r="A424" s="96" t="s">
        <v>142</v>
      </c>
      <c r="B424" s="94" t="s">
        <v>105</v>
      </c>
      <c r="C424" s="94" t="s">
        <v>36</v>
      </c>
      <c r="D424" s="94" t="s">
        <v>34</v>
      </c>
      <c r="E424" s="94" t="s">
        <v>141</v>
      </c>
      <c r="F424" s="93"/>
      <c r="G424" s="92">
        <f>G425+G426+G427</f>
        <v>8000</v>
      </c>
      <c r="H424" s="92">
        <f>H425+H426+H427</f>
        <v>6000</v>
      </c>
    </row>
    <row r="425" spans="1:8" ht="30">
      <c r="A425" s="96" t="s">
        <v>118</v>
      </c>
      <c r="B425" s="94" t="s">
        <v>105</v>
      </c>
      <c r="C425" s="94" t="s">
        <v>36</v>
      </c>
      <c r="D425" s="94" t="s">
        <v>34</v>
      </c>
      <c r="E425" s="94" t="s">
        <v>141</v>
      </c>
      <c r="F425" s="93" t="s">
        <v>117</v>
      </c>
      <c r="G425" s="92">
        <v>1000</v>
      </c>
      <c r="H425" s="92">
        <v>1000</v>
      </c>
    </row>
    <row r="426" spans="1:8" ht="30">
      <c r="A426" s="102" t="s">
        <v>139</v>
      </c>
      <c r="B426" s="94" t="s">
        <v>105</v>
      </c>
      <c r="C426" s="94" t="s">
        <v>36</v>
      </c>
      <c r="D426" s="94" t="s">
        <v>34</v>
      </c>
      <c r="E426" s="94" t="s">
        <v>141</v>
      </c>
      <c r="F426" s="93" t="s">
        <v>138</v>
      </c>
      <c r="G426" s="92">
        <v>500</v>
      </c>
      <c r="H426" s="92">
        <v>1000</v>
      </c>
    </row>
    <row r="427" spans="1:8" ht="30">
      <c r="A427" s="96" t="s">
        <v>106</v>
      </c>
      <c r="B427" s="94" t="s">
        <v>105</v>
      </c>
      <c r="C427" s="94" t="s">
        <v>36</v>
      </c>
      <c r="D427" s="94" t="s">
        <v>34</v>
      </c>
      <c r="E427" s="94" t="s">
        <v>141</v>
      </c>
      <c r="F427" s="93" t="s">
        <v>103</v>
      </c>
      <c r="G427" s="92">
        <v>6500</v>
      </c>
      <c r="H427" s="92">
        <f>6500-2500</f>
        <v>4000</v>
      </c>
    </row>
    <row r="428" spans="1:8" ht="30">
      <c r="A428" s="96" t="s">
        <v>31</v>
      </c>
      <c r="B428" s="94" t="s">
        <v>105</v>
      </c>
      <c r="C428" s="94" t="s">
        <v>36</v>
      </c>
      <c r="D428" s="94" t="s">
        <v>32</v>
      </c>
      <c r="E428" s="94"/>
      <c r="F428" s="93"/>
      <c r="G428" s="92">
        <f>G429+G437</f>
        <v>9771</v>
      </c>
      <c r="H428" s="92">
        <f>H429+H437</f>
        <v>10247</v>
      </c>
    </row>
    <row r="429" spans="1:8" ht="45">
      <c r="A429" s="99" t="s">
        <v>134</v>
      </c>
      <c r="B429" s="94" t="s">
        <v>105</v>
      </c>
      <c r="C429" s="94" t="s">
        <v>36</v>
      </c>
      <c r="D429" s="94" t="s">
        <v>32</v>
      </c>
      <c r="E429" s="94" t="s">
        <v>133</v>
      </c>
      <c r="F429" s="93"/>
      <c r="G429" s="92">
        <f>G430</f>
        <v>3790</v>
      </c>
      <c r="H429" s="92">
        <f>H430</f>
        <v>3967</v>
      </c>
    </row>
    <row r="430" spans="1:8" ht="15">
      <c r="A430" s="99" t="s">
        <v>132</v>
      </c>
      <c r="B430" s="94" t="s">
        <v>105</v>
      </c>
      <c r="C430" s="94" t="s">
        <v>36</v>
      </c>
      <c r="D430" s="94" t="s">
        <v>32</v>
      </c>
      <c r="E430" s="94" t="s">
        <v>127</v>
      </c>
      <c r="F430" s="93"/>
      <c r="G430" s="92">
        <f>G431+G432+G433+G434+G435+G436</f>
        <v>3790</v>
      </c>
      <c r="H430" s="92">
        <f>H431+H432+H433+H434+H435+H436</f>
        <v>3967</v>
      </c>
    </row>
    <row r="431" spans="1:8" ht="15">
      <c r="A431" s="98" t="s">
        <v>124</v>
      </c>
      <c r="B431" s="94" t="s">
        <v>105</v>
      </c>
      <c r="C431" s="94" t="s">
        <v>36</v>
      </c>
      <c r="D431" s="94" t="s">
        <v>32</v>
      </c>
      <c r="E431" s="94" t="s">
        <v>127</v>
      </c>
      <c r="F431" s="97" t="s">
        <v>131</v>
      </c>
      <c r="G431" s="92">
        <v>2947</v>
      </c>
      <c r="H431" s="92">
        <v>3095</v>
      </c>
    </row>
    <row r="432" spans="1:8" ht="30">
      <c r="A432" s="98" t="s">
        <v>122</v>
      </c>
      <c r="B432" s="94" t="s">
        <v>105</v>
      </c>
      <c r="C432" s="94" t="s">
        <v>36</v>
      </c>
      <c r="D432" s="94" t="s">
        <v>32</v>
      </c>
      <c r="E432" s="94" t="s">
        <v>127</v>
      </c>
      <c r="F432" s="97" t="s">
        <v>130</v>
      </c>
      <c r="G432" s="92">
        <v>3</v>
      </c>
      <c r="H432" s="92">
        <v>3</v>
      </c>
    </row>
    <row r="433" spans="1:8" ht="30">
      <c r="A433" s="98" t="s">
        <v>120</v>
      </c>
      <c r="B433" s="94" t="s">
        <v>105</v>
      </c>
      <c r="C433" s="94" t="s">
        <v>36</v>
      </c>
      <c r="D433" s="94" t="s">
        <v>32</v>
      </c>
      <c r="E433" s="94" t="s">
        <v>127</v>
      </c>
      <c r="F433" s="97" t="s">
        <v>119</v>
      </c>
      <c r="G433" s="92">
        <v>94</v>
      </c>
      <c r="H433" s="92">
        <v>99</v>
      </c>
    </row>
    <row r="434" spans="1:8" ht="30">
      <c r="A434" s="96" t="s">
        <v>118</v>
      </c>
      <c r="B434" s="94" t="s">
        <v>105</v>
      </c>
      <c r="C434" s="94" t="s">
        <v>36</v>
      </c>
      <c r="D434" s="94" t="s">
        <v>32</v>
      </c>
      <c r="E434" s="94" t="s">
        <v>127</v>
      </c>
      <c r="F434" s="97" t="s">
        <v>117</v>
      </c>
      <c r="G434" s="92">
        <v>721</v>
      </c>
      <c r="H434" s="92">
        <v>745</v>
      </c>
    </row>
    <row r="435" spans="1:8" ht="30">
      <c r="A435" s="98" t="s">
        <v>129</v>
      </c>
      <c r="B435" s="94" t="s">
        <v>105</v>
      </c>
      <c r="C435" s="94" t="s">
        <v>36</v>
      </c>
      <c r="D435" s="94" t="s">
        <v>32</v>
      </c>
      <c r="E435" s="94" t="s">
        <v>127</v>
      </c>
      <c r="F435" s="97" t="s">
        <v>128</v>
      </c>
      <c r="G435" s="92">
        <v>21</v>
      </c>
      <c r="H435" s="92">
        <v>21</v>
      </c>
    </row>
    <row r="436" spans="1:8" ht="30">
      <c r="A436" s="98" t="s">
        <v>116</v>
      </c>
      <c r="B436" s="94" t="s">
        <v>105</v>
      </c>
      <c r="C436" s="94" t="s">
        <v>36</v>
      </c>
      <c r="D436" s="94" t="s">
        <v>32</v>
      </c>
      <c r="E436" s="94" t="s">
        <v>127</v>
      </c>
      <c r="F436" s="97" t="s">
        <v>114</v>
      </c>
      <c r="G436" s="92">
        <v>4</v>
      </c>
      <c r="H436" s="92">
        <v>4</v>
      </c>
    </row>
    <row r="437" spans="1:8" ht="90">
      <c r="A437" s="96" t="s">
        <v>126</v>
      </c>
      <c r="B437" s="94" t="s">
        <v>105</v>
      </c>
      <c r="C437" s="94" t="s">
        <v>36</v>
      </c>
      <c r="D437" s="94" t="s">
        <v>32</v>
      </c>
      <c r="E437" s="94" t="s">
        <v>115</v>
      </c>
      <c r="F437" s="93"/>
      <c r="G437" s="92">
        <f>G438</f>
        <v>5981</v>
      </c>
      <c r="H437" s="92">
        <f>H438</f>
        <v>6280</v>
      </c>
    </row>
    <row r="438" spans="1:8" ht="30">
      <c r="A438" s="96" t="s">
        <v>125</v>
      </c>
      <c r="B438" s="94" t="s">
        <v>105</v>
      </c>
      <c r="C438" s="94" t="s">
        <v>36</v>
      </c>
      <c r="D438" s="94" t="s">
        <v>32</v>
      </c>
      <c r="E438" s="94" t="s">
        <v>115</v>
      </c>
      <c r="F438" s="93"/>
      <c r="G438" s="92">
        <f>G439+G441+G442+G443+G440</f>
        <v>5981</v>
      </c>
      <c r="H438" s="92">
        <f>H439+H441+H442+H443+H440</f>
        <v>6280</v>
      </c>
    </row>
    <row r="439" spans="1:8" ht="15">
      <c r="A439" s="98" t="s">
        <v>124</v>
      </c>
      <c r="B439" s="94" t="s">
        <v>105</v>
      </c>
      <c r="C439" s="94" t="s">
        <v>36</v>
      </c>
      <c r="D439" s="94" t="s">
        <v>32</v>
      </c>
      <c r="E439" s="94" t="s">
        <v>115</v>
      </c>
      <c r="F439" s="97" t="s">
        <v>123</v>
      </c>
      <c r="G439" s="92">
        <v>5079</v>
      </c>
      <c r="H439" s="92">
        <v>5333</v>
      </c>
    </row>
    <row r="440" spans="1:8" ht="30">
      <c r="A440" s="98" t="s">
        <v>122</v>
      </c>
      <c r="B440" s="94" t="s">
        <v>105</v>
      </c>
      <c r="C440" s="94" t="s">
        <v>36</v>
      </c>
      <c r="D440" s="94" t="s">
        <v>32</v>
      </c>
      <c r="E440" s="94" t="s">
        <v>115</v>
      </c>
      <c r="F440" s="97" t="s">
        <v>121</v>
      </c>
      <c r="G440" s="92">
        <v>3</v>
      </c>
      <c r="H440" s="92">
        <v>3</v>
      </c>
    </row>
    <row r="441" spans="1:8" ht="30">
      <c r="A441" s="98" t="s">
        <v>120</v>
      </c>
      <c r="B441" s="94" t="s">
        <v>105</v>
      </c>
      <c r="C441" s="94" t="s">
        <v>36</v>
      </c>
      <c r="D441" s="94" t="s">
        <v>32</v>
      </c>
      <c r="E441" s="94" t="s">
        <v>115</v>
      </c>
      <c r="F441" s="97" t="s">
        <v>119</v>
      </c>
      <c r="G441" s="92">
        <v>281</v>
      </c>
      <c r="H441" s="92">
        <v>295</v>
      </c>
    </row>
    <row r="442" spans="1:8" ht="30">
      <c r="A442" s="96" t="s">
        <v>118</v>
      </c>
      <c r="B442" s="94" t="s">
        <v>105</v>
      </c>
      <c r="C442" s="94" t="s">
        <v>36</v>
      </c>
      <c r="D442" s="94" t="s">
        <v>32</v>
      </c>
      <c r="E442" s="94" t="s">
        <v>115</v>
      </c>
      <c r="F442" s="97" t="s">
        <v>117</v>
      </c>
      <c r="G442" s="92">
        <v>611</v>
      </c>
      <c r="H442" s="92">
        <v>642</v>
      </c>
    </row>
    <row r="443" spans="1:8" ht="30">
      <c r="A443" s="98" t="s">
        <v>116</v>
      </c>
      <c r="B443" s="94" t="s">
        <v>105</v>
      </c>
      <c r="C443" s="94" t="s">
        <v>36</v>
      </c>
      <c r="D443" s="94" t="s">
        <v>32</v>
      </c>
      <c r="E443" s="94" t="s">
        <v>115</v>
      </c>
      <c r="F443" s="97" t="s">
        <v>114</v>
      </c>
      <c r="G443" s="92">
        <v>7</v>
      </c>
      <c r="H443" s="92">
        <v>7</v>
      </c>
    </row>
    <row r="444" spans="1:8" ht="15">
      <c r="A444" s="91" t="s">
        <v>539</v>
      </c>
      <c r="B444" s="90"/>
      <c r="C444" s="90"/>
      <c r="D444" s="89"/>
      <c r="E444" s="89"/>
      <c r="F444" s="88"/>
      <c r="G444" s="87">
        <f>G12+G25+G112+G130+G151+G164+G245+G262+G295+G313+G405</f>
        <v>1074961.4295</v>
      </c>
      <c r="H444" s="87">
        <f>H12+H25+H112+H130+H151+H164+H245+H262+H295+H313+H405</f>
        <v>1119736.585975</v>
      </c>
    </row>
  </sheetData>
  <sheetProtection/>
  <mergeCells count="6">
    <mergeCell ref="D1:G1"/>
    <mergeCell ref="A7:G7"/>
    <mergeCell ref="D3:G3"/>
    <mergeCell ref="D4:G4"/>
    <mergeCell ref="D2:G2"/>
    <mergeCell ref="A6:H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2013-04-09T00:49:38Z</dcterms:created>
  <dcterms:modified xsi:type="dcterms:W3CDTF">2013-04-09T01:04:58Z</dcterms:modified>
  <cp:category/>
  <cp:version/>
  <cp:contentType/>
  <cp:contentStatus/>
</cp:coreProperties>
</file>