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2120" windowHeight="8265" activeTab="2"/>
  </bookViews>
  <sheets>
    <sheet name="прил1" sheetId="1" r:id="rId1"/>
    <sheet name="прил2" sheetId="2" r:id="rId2"/>
    <sheet name="прил3" sheetId="3" r:id="rId3"/>
    <sheet name="прил4" sheetId="4" r:id="rId4"/>
    <sheet name="прил7" sheetId="5" r:id="rId5"/>
    <sheet name="прил8" sheetId="6" r:id="rId6"/>
  </sheets>
  <definedNames>
    <definedName name="_xlnm.Print_Titles" localSheetId="0">'прил1'!$12:$13</definedName>
    <definedName name="_xlnm.Print_Titles" localSheetId="1">'прил2'!$9:$9</definedName>
    <definedName name="_xlnm.Print_Titles" localSheetId="3">'прил4'!$11:$11</definedName>
  </definedNames>
  <calcPr fullCalcOnLoad="1" fullPrecision="0"/>
</workbook>
</file>

<file path=xl/sharedStrings.xml><?xml version="1.0" encoding="utf-8"?>
<sst xmlns="http://schemas.openxmlformats.org/spreadsheetml/2006/main" count="4137" uniqueCount="889">
  <si>
    <t>Пособия и компенсации гражданам и иные социальные выплаты, кроме публичных нормативных обязательств</t>
  </si>
  <si>
    <t>321</t>
  </si>
  <si>
    <t>313</t>
  </si>
  <si>
    <t>Обслуживание муниципального долга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</si>
  <si>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</si>
  <si>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</si>
  <si>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Оценка недвижимости, признание прав и регулирование отношений по муниципальной собственности</t>
  </si>
  <si>
    <t>090 03 00</t>
  </si>
  <si>
    <t>Субсидии бюджетным учреждениям на иные цели</t>
  </si>
  <si>
    <t>611</t>
  </si>
  <si>
    <t>612</t>
  </si>
  <si>
    <t>621</t>
  </si>
  <si>
    <t>622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</si>
  <si>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</si>
  <si>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</si>
  <si>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Наименование</t>
  </si>
  <si>
    <t>Код главы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</si>
  <si>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</si>
  <si>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</si>
  <si>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</si>
  <si>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</si>
  <si>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</si>
  <si>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</si>
  <si>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</si>
  <si>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</si>
  <si>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</si>
  <si>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</si>
  <si>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</si>
  <si>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</si>
  <si>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</si>
  <si>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</si>
  <si>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</si>
  <si>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</si>
  <si>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</si>
  <si>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012</t>
  </si>
  <si>
    <t>Общегосударственные вопросы</t>
  </si>
  <si>
    <t xml:space="preserve">Центральный аппарат </t>
  </si>
  <si>
    <t>0100</t>
  </si>
  <si>
    <t>0103</t>
  </si>
  <si>
    <t>0804</t>
  </si>
  <si>
    <t>0104</t>
  </si>
  <si>
    <t>0102</t>
  </si>
  <si>
    <t>0107</t>
  </si>
  <si>
    <t>070 00 00</t>
  </si>
  <si>
    <t>065 00 00</t>
  </si>
  <si>
    <t>0900</t>
  </si>
  <si>
    <t>Другие общегосударственные вопросы</t>
  </si>
  <si>
    <t>0400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</si>
  <si>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</si>
  <si>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</si>
  <si>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</si>
  <si>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</si>
  <si>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</si>
  <si>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</si>
  <si>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420 00 00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</si>
  <si>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</si>
  <si>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</si>
  <si>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</si>
  <si>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</si>
  <si>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</si>
  <si>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</si>
  <si>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</si>
  <si>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</si>
  <si>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452 00 00</t>
  </si>
  <si>
    <t>Культура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</si>
  <si>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</si>
  <si>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</si>
  <si>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</si>
  <si>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</si>
  <si>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</si>
  <si>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</si>
  <si>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</si>
  <si>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</si>
  <si>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</si>
  <si>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</si>
  <si>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</si>
  <si>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</si>
  <si>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</si>
  <si>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</si>
  <si>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Национальная экономика</t>
  </si>
  <si>
    <t>0600</t>
  </si>
  <si>
    <t>Периодическая печать и издательства</t>
  </si>
  <si>
    <t>Резервные фонды</t>
  </si>
  <si>
    <t>Процентные платежи по муниципальному долгу</t>
  </si>
  <si>
    <t>тыс.руб.</t>
  </si>
  <si>
    <t xml:space="preserve">Наименование разделов и подразделов 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</si>
  <si>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</si>
  <si>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</si>
  <si>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</si>
  <si>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</si>
  <si>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</si>
  <si>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</si>
  <si>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</si>
  <si>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</si>
  <si>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</si>
  <si>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</si>
  <si>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</si>
  <si>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</si>
  <si>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</si>
  <si>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</si>
  <si>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</si>
  <si>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</si>
  <si>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Совет народных депутатов Белогорского городского самоуправления</t>
  </si>
  <si>
    <t>Благоустройство</t>
  </si>
  <si>
    <t>Уличное освещение</t>
  </si>
  <si>
    <t>Озеленение</t>
  </si>
  <si>
    <t>Другие вопросы  в области жилищно-коммунального хозяйства</t>
  </si>
  <si>
    <t>Председатель представительного органа муниципального образования</t>
  </si>
  <si>
    <t>Глава муниципального образования</t>
  </si>
  <si>
    <t>Процентные  платежи по долговым обязательствам</t>
  </si>
  <si>
    <t>Администрация города Белогорск</t>
  </si>
  <si>
    <t>Учреждения по внешкольной работе с детьми</t>
  </si>
  <si>
    <t>Приложение № 4</t>
  </si>
  <si>
    <t>к решению Белогорского городского Совета народных депутатов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</si>
  <si>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</si>
  <si>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</si>
  <si>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</si>
  <si>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</si>
  <si>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</si>
  <si>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002 00 00</t>
  </si>
  <si>
    <t>002 04 00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</si>
  <si>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</si>
  <si>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</si>
  <si>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</si>
  <si>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070 05 00</t>
  </si>
  <si>
    <t>065 03 00</t>
  </si>
  <si>
    <t>421 99 00</t>
  </si>
  <si>
    <t>452 99  00</t>
  </si>
  <si>
    <t>441 99 00</t>
  </si>
  <si>
    <t>442 99 00</t>
  </si>
  <si>
    <t>452 99 00</t>
  </si>
  <si>
    <t>795 04 00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</si>
  <si>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</si>
  <si>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</si>
  <si>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</si>
  <si>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0503</t>
  </si>
  <si>
    <t>0407</t>
  </si>
  <si>
    <t>Лесное хозяйство</t>
  </si>
  <si>
    <t>0505</t>
  </si>
  <si>
    <t>0602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</si>
  <si>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</si>
  <si>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</si>
  <si>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</si>
  <si>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</si>
  <si>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400 01 00</t>
  </si>
  <si>
    <t xml:space="preserve">Сбор,  удаление отходов и очистка сточных вод </t>
  </si>
  <si>
    <t>Резервные фонды местных администраций</t>
  </si>
  <si>
    <t>007</t>
  </si>
  <si>
    <t>Поисковые и аварийно-спасательные учреждения</t>
  </si>
  <si>
    <t>Приложение № 2</t>
  </si>
  <si>
    <t>Руководитель контрольно-счетной палаты муниципального образования и его заместители</t>
  </si>
  <si>
    <t xml:space="preserve">Лесное хозяйство </t>
  </si>
  <si>
    <t>Мероприятия в области охраны, восстановления и использования лесов</t>
  </si>
  <si>
    <t>292 02 00</t>
  </si>
  <si>
    <t>Целевые программы муниципальных образований, в том числе:</t>
  </si>
  <si>
    <t>к решению Белогорского                   городского Совета народных                 депутатов</t>
  </si>
  <si>
    <t>002 25 00</t>
  </si>
  <si>
    <t>006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</si>
  <si>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</si>
  <si>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</si>
  <si>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</si>
  <si>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</si>
  <si>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</si>
  <si>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</si>
  <si>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</si>
  <si>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Иные безвозмездные и безвозвратные перечисления</t>
  </si>
  <si>
    <t>520 00 00</t>
  </si>
  <si>
    <t>520 09 00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</si>
  <si>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</si>
  <si>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</si>
  <si>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>522 09 00</t>
  </si>
  <si>
    <t>522 09 02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</si>
  <si>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</si>
  <si>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</si>
  <si>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 xml:space="preserve">Организация и осуществление деятельности по опеке и попечительству </t>
  </si>
  <si>
    <t>795 08 00</t>
  </si>
  <si>
    <t>795 10 00</t>
  </si>
  <si>
    <t>795 00  00</t>
  </si>
  <si>
    <t>795 15 00</t>
  </si>
  <si>
    <t>ГЦП "Противодействие злоупотреблению наркотическими средствами и их незаконному обороту на 2010-2014 годы"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</si>
  <si>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</si>
  <si>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</si>
  <si>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</si>
  <si>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</si>
  <si>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Раз</t>
  </si>
  <si>
    <t>795 03 00</t>
  </si>
  <si>
    <t>009</t>
  </si>
  <si>
    <t>093 99 00</t>
  </si>
  <si>
    <t>Учреждения по обеспечению хозяйственного обслуживания</t>
  </si>
  <si>
    <t>093 00 00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</si>
  <si>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</si>
  <si>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</si>
  <si>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Пенсии</t>
  </si>
  <si>
    <t>490 00 00</t>
  </si>
  <si>
    <t>360 00 00</t>
  </si>
  <si>
    <t>Поддержка жилищного хозяйства</t>
  </si>
  <si>
    <t>360 03 00</t>
  </si>
  <si>
    <t>Ежемесячное  денежное вознаграждение за классное руководство за счет средств областного бюджета</t>
  </si>
  <si>
    <t>Код</t>
  </si>
  <si>
    <t>010</t>
  </si>
  <si>
    <t>Другие вопросы в области социальной политики</t>
  </si>
  <si>
    <t>1105</t>
  </si>
  <si>
    <t>1100</t>
  </si>
  <si>
    <t>Другие вопросы в области  физической культуры и спорта</t>
  </si>
  <si>
    <t xml:space="preserve"> Средства массовой информации</t>
  </si>
  <si>
    <t>1200</t>
  </si>
  <si>
    <t>1202</t>
  </si>
  <si>
    <t>Другие вопросы в области здравоохранения</t>
  </si>
  <si>
    <t>0909</t>
  </si>
  <si>
    <t>1300</t>
  </si>
  <si>
    <t>1301</t>
  </si>
  <si>
    <t>0113</t>
  </si>
  <si>
    <t>1101</t>
  </si>
  <si>
    <t>Другие вопросы в области культуры, кинематографии</t>
  </si>
  <si>
    <t>ФИЗИЧЕСКАЯ КУЛЬТУРА  И СПОРТ</t>
  </si>
  <si>
    <t>Другие вопросы в области физической культуры и спорта</t>
  </si>
  <si>
    <t>Физическая культура</t>
  </si>
  <si>
    <t>СРЕДСТВА МАССОВОЙ ИНФОРМАЦИИ</t>
  </si>
  <si>
    <t>Периодическая печать  и издательства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</si>
  <si>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</si>
  <si>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</si>
  <si>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</si>
  <si>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795 02 00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</si>
  <si>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</si>
  <si>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</si>
  <si>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Дорожное хозяйство (дорожные фонды)</t>
  </si>
  <si>
    <t>302 99 00</t>
  </si>
  <si>
    <t>795 18 00</t>
  </si>
  <si>
    <t>795 19 00</t>
  </si>
  <si>
    <t>Содержание автомобильных дорог</t>
  </si>
  <si>
    <t>795 20 00</t>
  </si>
  <si>
    <t>Адресные программы муниципальных образований, в том числе:</t>
  </si>
  <si>
    <t>796 00 00</t>
  </si>
  <si>
    <t>Реализация муниципальных функций в области социальной политики</t>
  </si>
  <si>
    <t>452 00  00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</si>
  <si>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</si>
  <si>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</si>
  <si>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</si>
  <si>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ГЦП "Развитие образования г. Белогорск на 2011-2015 годы"</t>
  </si>
  <si>
    <t>Обслуживание государственного внутреннего и муниципального долга</t>
  </si>
  <si>
    <t>Обслуживание государственного внутреннего  и муниципального долга</t>
  </si>
  <si>
    <t>ГЦП "Создание условий для развития малого и среднего бизнеса в г. Белогорске на 2011-2015 годы"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</si>
  <si>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</si>
  <si>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</si>
  <si>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</si>
  <si>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</si>
  <si>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</si>
  <si>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242</t>
  </si>
  <si>
    <t>244</t>
  </si>
  <si>
    <t>851</t>
  </si>
  <si>
    <t>852</t>
  </si>
  <si>
    <t>Обеспечение проведение выборов и референдумов</t>
  </si>
  <si>
    <t>Руководство и управление в сфере установленных функций органов  местного самоуправления</t>
  </si>
  <si>
    <t>Государственное управление охраной труда на территориях  муниципальных образований</t>
  </si>
  <si>
    <t>870</t>
  </si>
  <si>
    <t>610</t>
  </si>
  <si>
    <t>Субсидии  автономным учреждениям</t>
  </si>
  <si>
    <t>620</t>
  </si>
  <si>
    <t>111</t>
  </si>
  <si>
    <t>002 11 00</t>
  </si>
  <si>
    <t>002 03 00</t>
  </si>
  <si>
    <t>Резервные средства</t>
  </si>
  <si>
    <t>Прочая закупка товаров, работ и услуг для муниципальных нужд</t>
  </si>
  <si>
    <t>Пособия и компенсации по публичным нормативным обязательствам</t>
  </si>
  <si>
    <t>112</t>
  </si>
  <si>
    <t>Субсидии бюджетным учреждениям</t>
  </si>
  <si>
    <t>Школы-детские сады, школы начальные, неполные средние и средние</t>
  </si>
  <si>
    <t xml:space="preserve">Ежемесячное денежное вознаграждение за классное руководство  </t>
  </si>
  <si>
    <t>Мероприятия в области строительства, архитектуры и градостроительства</t>
  </si>
  <si>
    <t>338 00 00</t>
  </si>
  <si>
    <t>Культура, кинематография</t>
  </si>
  <si>
    <t>440 02 00</t>
  </si>
  <si>
    <t>Проведение выборов и референдумов</t>
  </si>
  <si>
    <t>020 00 00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</si>
  <si>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</si>
  <si>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(оказание услуг) подведомственных учреждений</t>
  </si>
  <si>
    <t>505 36 02</t>
  </si>
  <si>
    <t xml:space="preserve"> Дополнительные гарантии по социальной поддержке детей -сирот и детей, оставшихся без попечения родителей</t>
  </si>
  <si>
    <t>522 06 00</t>
  </si>
  <si>
    <t>795 01 00</t>
  </si>
  <si>
    <t>795 16 00</t>
  </si>
  <si>
    <t>ГЦП "Развитие и сохранение культуры и искусства г.Белогорска на 2012-2015 годы"</t>
  </si>
  <si>
    <t>Здравоохранение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</si>
  <si>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</si>
  <si>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795 05 00</t>
  </si>
  <si>
    <t>ГЦП "Профилактика терроризма и экстремизма на территории муниципального образования г.Белогорск на 2012-2013 годы"</t>
  </si>
  <si>
    <t>795 12 00</t>
  </si>
  <si>
    <t>315 02 44</t>
  </si>
  <si>
    <t>796 02 00</t>
  </si>
  <si>
    <t>Коммунальное хозяйство</t>
  </si>
  <si>
    <t>0502</t>
  </si>
  <si>
    <t>Субсидии на возмещение части затрат на откачку и вывоз жидких нечистот из неканализованного жилищного фонда</t>
  </si>
  <si>
    <t>810</t>
  </si>
  <si>
    <t xml:space="preserve">ГЦП "Развитие наружного освещения города Белогорск  на 2011-2015 годы" </t>
  </si>
  <si>
    <t>795 14 00</t>
  </si>
  <si>
    <t>121</t>
  </si>
  <si>
    <t>ГЦП "Обеспечение жильем молодых семей г.Белогорска на 2009-2015 годы"</t>
  </si>
  <si>
    <t>322</t>
  </si>
  <si>
    <t>795 07 00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</si>
  <si>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</si>
  <si>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Субсидия гражданам на приобретение жилья</t>
  </si>
  <si>
    <t>730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</si>
  <si>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</si>
  <si>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Субсидии юридическим лицам (кроме муниципальных учреждений) и физическим лицам-производителям товаров, работ, услуг</t>
  </si>
  <si>
    <t>122</t>
  </si>
  <si>
    <t>490 06 00</t>
  </si>
  <si>
    <t>431 01 00</t>
  </si>
  <si>
    <t>Муниципальное казенное учреждение "Финансовое управление Администрации города Белогорск"</t>
  </si>
  <si>
    <t>Муниципальное казенное учреждение "Служба по обеспечению деятельности органов местного самоуправления" города Белогорск</t>
  </si>
  <si>
    <t>Муниципальное казенное учреждение "Комитет имущественных отношений Администрации города Белогорск"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</si>
  <si>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</si>
  <si>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казенное учреждение "Управление по физической культуре и спорту Администрации города Белогорск"</t>
  </si>
  <si>
    <t>Муниципальное казенное учреждение "Комитет по образованию и делам молодежи Администрации города Белогорск"</t>
  </si>
  <si>
    <t>423 99 00</t>
  </si>
  <si>
    <t>440 99 00</t>
  </si>
  <si>
    <t>420 99 00</t>
  </si>
  <si>
    <t>Учреждения культуры и мероприятия в сфере культуры и кинематографии</t>
  </si>
  <si>
    <t>Контрольно-счетная палата  муниципального образования город Белогорск</t>
  </si>
  <si>
    <t>Муниципальное казенное учреждение "Управление по делам  гражданской обороны и чрезвычайным ситуациям города Белогорск"</t>
  </si>
  <si>
    <t>Муниципальное казенное учреждение "Управление культуры Администрации г.Белогорск"</t>
  </si>
  <si>
    <t>Мероприятия в области жилищно-коммунального  хозяйства</t>
  </si>
  <si>
    <t>514 01 44</t>
  </si>
  <si>
    <t>Транспорт</t>
  </si>
  <si>
    <t>0408</t>
  </si>
  <si>
    <t>351 05 00</t>
  </si>
  <si>
    <t>720 00 00</t>
  </si>
  <si>
    <t>720 01 00</t>
  </si>
  <si>
    <t>720 03 00</t>
  </si>
  <si>
    <t>720 05 00</t>
  </si>
  <si>
    <t>411</t>
  </si>
  <si>
    <t>795 16 01</t>
  </si>
  <si>
    <t>795 16 02</t>
  </si>
  <si>
    <t>338 99 00</t>
  </si>
  <si>
    <t>795 16  01</t>
  </si>
  <si>
    <t>Учреждения осуществляющие функции в области массового спорта, проведения спортивных мероприятий</t>
  </si>
  <si>
    <t>1102</t>
  </si>
  <si>
    <t>Массовый спорт</t>
  </si>
  <si>
    <t>488 00 00</t>
  </si>
  <si>
    <t>488 99 00</t>
  </si>
  <si>
    <t>Пенсии за выслугу лет  муниципальной  службе</t>
  </si>
  <si>
    <t xml:space="preserve">Проведение мероприятий для детей и молодежи </t>
  </si>
  <si>
    <t>Бюджетные инвестиции в объекты муниципальной собственности казенным учреждениям</t>
  </si>
  <si>
    <t>432 00 00</t>
  </si>
  <si>
    <t>432 99 00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</si>
  <si>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</si>
  <si>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795 16  02</t>
  </si>
  <si>
    <t>020 08 00</t>
  </si>
  <si>
    <t xml:space="preserve">Физическая культура </t>
  </si>
  <si>
    <t>Мероприятия по проведению оздоровительной кампании для детей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</si>
  <si>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</si>
  <si>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 xml:space="preserve">Прочие мероприятия по благоустройству  городских округов </t>
  </si>
  <si>
    <t xml:space="preserve">Мероприятия по благоустройству городских округов 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</si>
  <si>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</si>
  <si>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520 13 02</t>
  </si>
  <si>
    <t>795 11 00</t>
  </si>
  <si>
    <t>317 01 44</t>
  </si>
  <si>
    <t>Субсидии юридическим лицам (кроме муниципальных  учреждений) и физическим лицам-производителям товаров, работ, услуг</t>
  </si>
  <si>
    <t>Реализация государственных функций, связанных с общегосударственным управлением</t>
  </si>
  <si>
    <t>092 00 00</t>
  </si>
  <si>
    <t>092 99 00</t>
  </si>
  <si>
    <t>520 50 00</t>
  </si>
  <si>
    <t>Субсидии на проведение отдельных мероприятий по автомобильному транспорту</t>
  </si>
  <si>
    <t>Субсидии юридическим лицам (кроме муниципальных учреждений) и физическим лицам - производителям товаров, работ, услуг</t>
  </si>
  <si>
    <t>880</t>
  </si>
  <si>
    <t>Специальные расходы</t>
  </si>
  <si>
    <t>520 10 00</t>
  </si>
  <si>
    <t xml:space="preserve">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 </t>
  </si>
  <si>
    <t xml:space="preserve">Плановые назначения на 2013 год </t>
  </si>
  <si>
    <t>ГЦП "Энергосбережение и повышение энергетической эффективности на территории  муниципального образования г.Белогорск на 2010-2020 годы"</t>
  </si>
  <si>
    <t>795 21 00</t>
  </si>
  <si>
    <t>ГЦП "Социальное и экономическое развитие с.Низинное муниципального образования г.Белогорск на 2011-2013 годы"</t>
  </si>
  <si>
    <t>795 17 00</t>
  </si>
  <si>
    <t>795 17  00</t>
  </si>
  <si>
    <t>Субвенция бюджетам городских округов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</si>
  <si>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 xml:space="preserve">Плановые назначения на  2013 год </t>
  </si>
  <si>
    <t>ГЦП "Обеспечение безопасности дорожного движения в городе Белогорске на 2013-2020 годы"</t>
  </si>
  <si>
    <t>ГЦП "Развитие дорожной сети г.Белогорска на 2009-2017 годы"</t>
  </si>
  <si>
    <t>ГЦП "Меры адресной поддержки отдельных категорий граждан г. Белогорска на 2009-2015 годы"</t>
  </si>
  <si>
    <t>ГЦП "Энергосбережение и повышение энергетической эффективности на территории муниципального образования г. Белогорск на 2010-2020 годы"</t>
  </si>
  <si>
    <t xml:space="preserve">ГЦП "Меры адресной поддержки  отдельных категорий граждан  г.Белогорска  на 2009 - 2015 годы" </t>
  </si>
  <si>
    <t>Содержание ребенка в семье опекуна и приемной семье, а также вознаграждение, причитающееся приемному родителю</t>
  </si>
  <si>
    <t>ГЦП "Развитие дорожной сети г. Белогорска на 2009-2017 годы"</t>
  </si>
  <si>
    <t>ГЦП "Переселение граждан из ветхого и аварийного жилищного фонда города Белогорска на 2009-2015 годы"</t>
  </si>
  <si>
    <t>ГЦП "Реформирование и модернизация жилищно-коммунального комплекса г. Белогорск  на 2009-2015 годы"</t>
  </si>
  <si>
    <t>ГЦП "Меры адресной поддержки  отдельных категорий граждан  г.Белогорска  на 2009 - 2015 годы"</t>
  </si>
  <si>
    <t>Проведение выборов депутатов Совета народных депутатов Белогорского городского самоуправления</t>
  </si>
  <si>
    <t/>
  </si>
  <si>
    <t>ГЦП "Развитие  физической культуры и спорта на территории  города Белогорск на 2012-2014 годы"</t>
  </si>
  <si>
    <t>Подпрограмма "Развитие массового спорта для  взрослого населения на территории города Белогорск на 2012-2014 годы"</t>
  </si>
  <si>
    <t>Подпрограмма "Развитие детско-юношеского спорта на территории города Белогорск на 2012-2014 годы"</t>
  </si>
  <si>
    <t>Сельское хозяйство и рыболовство</t>
  </si>
  <si>
    <t>0405</t>
  </si>
  <si>
    <t>в  том числе подпрограммы:</t>
  </si>
  <si>
    <t>Подпрограмма "Развитие инновационной образовательной деятельности"</t>
  </si>
  <si>
    <t>Подпрограмма "Развитие  дошкольного образования"</t>
  </si>
  <si>
    <t>Подпрограмма "Совершенствование организации питания в образовательных учреждениях"</t>
  </si>
  <si>
    <t>Подпрограмма "Одаренные дети"</t>
  </si>
  <si>
    <t>Подпрограмма "Патриотическое воспитание жителей города Белогорска"</t>
  </si>
  <si>
    <t>Подпрограмма "Организация летнего отдыха, оздоровления и занятости детей и подростков"</t>
  </si>
  <si>
    <t>Приобретение товаров, работ, услуг в пользу граждан</t>
  </si>
  <si>
    <t>Подпрограмма "Развитие  образования детей -инвалидов"</t>
  </si>
  <si>
    <t>Подпрограмма "Лицензирование образовательных учреждений"</t>
  </si>
  <si>
    <t>Подпрограмма "Обеспечение безопасности образовательных учреждений"</t>
  </si>
  <si>
    <t>Подпрограмма "Развитие сети образовательных учреждений"</t>
  </si>
  <si>
    <t>795 19 01</t>
  </si>
  <si>
    <t>795 19 03</t>
  </si>
  <si>
    <t>795 19 04</t>
  </si>
  <si>
    <t>795 19 05</t>
  </si>
  <si>
    <t>795 19 06</t>
  </si>
  <si>
    <t>323</t>
  </si>
  <si>
    <t>795 19 07</t>
  </si>
  <si>
    <t>795 19 08</t>
  </si>
  <si>
    <t>795 19 09</t>
  </si>
  <si>
    <t>Кредиторская задолженность за 2012 год по ГЦП 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</si>
  <si>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800 05 00</t>
  </si>
  <si>
    <t>092 99 01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</si>
  <si>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</si>
  <si>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</si>
  <si>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Строительство и капитальный ремонт жилья, инфраструктуры муниципальной собственности
</t>
  </si>
  <si>
    <t>102 11 00</t>
  </si>
  <si>
    <t>Кредиторская задолженность за 2012 год по ГЦП  "Противодействие злоупотреблению наркотическими средствами и их незаконному обороту на 2010-2014 годы"</t>
  </si>
  <si>
    <t>800 03 00</t>
  </si>
  <si>
    <t>Кредиторская задолженность за 2012 год по ГЦП  "Развитие дорожной сети г.Белогорска на 2009-2017 годы"</t>
  </si>
  <si>
    <t>Кредиторская задолженность за 2012 год по ГЦП "Создание условий для развития малого и среднего бизнеса в г. Белогорске на 2011-2015 годы"</t>
  </si>
  <si>
    <t>800 19 00</t>
  </si>
  <si>
    <t>800 19 10</t>
  </si>
  <si>
    <t>800 01 00</t>
  </si>
  <si>
    <t>800 07 00</t>
  </si>
  <si>
    <t>420 99 01</t>
  </si>
  <si>
    <t>Кредиторская задолженность за 2012 год подведомственных учреждений</t>
  </si>
  <si>
    <t>421 99 01</t>
  </si>
  <si>
    <t>423 99 01</t>
  </si>
  <si>
    <t>452 99 01</t>
  </si>
  <si>
    <t>432 99 01</t>
  </si>
  <si>
    <t>800 19 02</t>
  </si>
  <si>
    <t>800 00 00</t>
  </si>
  <si>
    <t>Кредиторская задолженность за 2012 год по целевым программам муниципального образования</t>
  </si>
  <si>
    <t>Кредиторская задолженность за 2012 год по  ГЦП "Развитие образования г. Белогорск на 2011-2015 годы"</t>
  </si>
  <si>
    <t>Кредиторская задолженность за 2012 год по подпрограмме "Развитие  дошкольного образования"</t>
  </si>
  <si>
    <t>800 19 04</t>
  </si>
  <si>
    <t>Кредиторская задолженность за 2012 год по подпрограмме "Одаренные дети"</t>
  </si>
  <si>
    <t>800 19 05</t>
  </si>
  <si>
    <t>Кредиторская задолженность за 2012 год по подпрограмме "Патриотическое воспитание жителей города Белогорска"</t>
  </si>
  <si>
    <t>800 19 09</t>
  </si>
  <si>
    <t>Кредиторская задолженность за 2012 год по подпрограмме  "Обеспечение безопасности образовательных учреждений"</t>
  </si>
  <si>
    <t>800 19 03</t>
  </si>
  <si>
    <t>Кредиторская задолженность за 2012 год по подпрограмме "Совершенствование организации питания в образовательных учреждениях"</t>
  </si>
  <si>
    <t>801 03 00</t>
  </si>
  <si>
    <t>Кредиторская задолженность за 2012 год по ГЦП ""Развитие  физической культуры и спорта на территории  города Белогорск на 2012-2014 годы"</t>
  </si>
  <si>
    <t>800 16 00</t>
  </si>
  <si>
    <t>800 16 01</t>
  </si>
  <si>
    <t>488 99 01</t>
  </si>
  <si>
    <t>800 19 01</t>
  </si>
  <si>
    <t>Подпрограмма "Развитие детско-юношеского спорта на территории г.Белогорск на 2012-2014 гг."</t>
  </si>
  <si>
    <t>800 16 02</t>
  </si>
  <si>
    <t>Кредиторская задолженность за 2012 год по подпрограмме  "Развитие инновационной образовательной деятельности"</t>
  </si>
  <si>
    <t>800 19 11</t>
  </si>
  <si>
    <t>Кредиторская задолженность за 2012 год по подпрограмме  "Развитие сети образовательных учреждений"</t>
  </si>
  <si>
    <t>Кредиторская задолженность за 2012 год по подпрограмме  "Ремонт зданий образовательных учреждений, сооружений, благоустройство прилегающей территории"</t>
  </si>
  <si>
    <t>800 04 00</t>
  </si>
  <si>
    <t>Кредиторская задолженность за 2012 год по  ГЦП "Профилактика терроризма и экстремизма на территории муниципального образования г.Белогорск на 2012-2013 годы"</t>
  </si>
  <si>
    <t>Кредиторская задолженность за 2012 год по ГЦП "Развитие  физической культуры и спорта на территории  города Белогорск на 2012-2014 годы"</t>
  </si>
  <si>
    <t>Кредиторская задолженность за 2012 год по подпрограмме  "Развитие массового спорта для  взрослого населения на территории города Белогорск на 2012-2014 годы"</t>
  </si>
  <si>
    <t>Кредиторская задолженность за 2012 год по подпрограмме  "Развитие детско-юношеского спорта на территории города Белогорск на 2012-2014 годы"</t>
  </si>
  <si>
    <t>795 19 02</t>
  </si>
  <si>
    <t>Кредиторская задолженность за 2012 год по ГЦП "Развитие и сохранение культуры и искусства г.Белогорска на 2012-2015 годы"</t>
  </si>
  <si>
    <t>800 20 00</t>
  </si>
  <si>
    <t>440 99 01</t>
  </si>
  <si>
    <t>441 99 01</t>
  </si>
  <si>
    <t>442 99 01</t>
  </si>
  <si>
    <t>092 03 08</t>
  </si>
  <si>
    <t>Исполнение судебных  актов Российской Федерации и мировых соглашений по возмещению вреда, причиненного в результате незаконных  действий (бездействия) органов государственной и муниципальной власти, либо должностных лиц этих органов , а также в результате деятельности казенных учреждений</t>
  </si>
  <si>
    <t>831</t>
  </si>
  <si>
    <t>800 09 00</t>
  </si>
  <si>
    <t>Кредиторская задолженность  за 2012 год  по ГЦП "Профилактика правонарушений  в  г. Белогорск на 2010 -2014 годы"</t>
  </si>
  <si>
    <t>3170145</t>
  </si>
  <si>
    <t>317 01 45</t>
  </si>
  <si>
    <t>800 08 00</t>
  </si>
  <si>
    <t>720 05 01</t>
  </si>
  <si>
    <t>Кредиторская задолженность  за 2012 год по целевым программам муниципального образования</t>
  </si>
  <si>
    <t>800 14 00</t>
  </si>
  <si>
    <t>5243004</t>
  </si>
  <si>
    <t>Расходы на ремонт и обеспечение повышения степени  благоустройства  жилых домов  ветеранов ВОВ, включая  расходы на строительство  и подключение  систем  коммунальной инфраструктуры</t>
  </si>
  <si>
    <t>800 15 00</t>
  </si>
  <si>
    <t>514 01 45</t>
  </si>
  <si>
    <t>Кредиторская задолженность  по ГЦП "Развитие дорожной сети г. Белогорска на 2009-2014 годы"</t>
  </si>
  <si>
    <t>Кредиторская задолженность за 2012 год на проведение отдельных мероприятий по автомобильному транспорту</t>
  </si>
  <si>
    <t>Кредиторская задолженность  за 2012 год по ГЦП "Реформирование и модернизация жилищно-коммунального комплекса г. Белогорск  на 2009-2015 годы"</t>
  </si>
  <si>
    <t>Кредиторская задолженность за 2012 год по  прочим мероприятиям  по благоустройству  городских округов</t>
  </si>
  <si>
    <t xml:space="preserve"> Кредиторская задолженность  за 2012 год по ГЦП "Реформирование и модернизация жилищно-коммунального комплекса г. Белогорск  на 2009-2015 годы"</t>
  </si>
  <si>
    <t>Кредиторская задолженность по ГЦП "Меры адресной поддержки  отдельных категорий граждан  г.Белогорска  на 2009 - 2015 годы"</t>
  </si>
  <si>
    <t>Кредиторская задолженность за 2012 год  на проведение отдельных мероприятий в области социальной политики</t>
  </si>
  <si>
    <t>Кредиторская задолженность за 2012 год по ГЦП "Развитие  образования  города Белогорска на 2011-2015 годы"</t>
  </si>
  <si>
    <t>520 09 01</t>
  </si>
  <si>
    <t>Подпрограмма "Развитие субъектов малого и среднего предпринимательства в Амурской области на 2012-2013 годы" ДЦП "Экономическое развитие и инновационная экономика Амурской области на 2012-2013 годы"</t>
  </si>
  <si>
    <t>608 01 00</t>
  </si>
  <si>
    <t>608 01 16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</si>
  <si>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</si>
  <si>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098 01 04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</si>
  <si>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</si>
  <si>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098 02 04</t>
  </si>
  <si>
    <t>Расходы по организации коммунального хозяйства в части заготовки топлива</t>
  </si>
  <si>
    <t>602 05 03</t>
  </si>
  <si>
    <t>522 15 00</t>
  </si>
  <si>
    <t>505 21 04</t>
  </si>
  <si>
    <t>505 21 00</t>
  </si>
  <si>
    <t xml:space="preserve"> ГЦП "Развитие  образования  города Белогорска на 2011-2015 годы"</t>
  </si>
  <si>
    <t>795 19 10</t>
  </si>
  <si>
    <t xml:space="preserve">Компенсация выпадающих доходов  теплоснабжающих организаций,возникающих в результате установления льготных тарифов для населения </t>
  </si>
  <si>
    <t>Подпрограмма "Ремонт зданий образовательных учреждений, сооружений, благоустройство прилегающей территории"</t>
  </si>
  <si>
    <t>795 19 11</t>
  </si>
  <si>
    <t xml:space="preserve"> Расходы на оплату исполнительных документов </t>
  </si>
  <si>
    <t>6190090</t>
  </si>
  <si>
    <t>ДЦП "Развитие сети автомобильных дорог общего пользования  Амурской области в 2010-2015годах"</t>
  </si>
  <si>
    <t>522 14 00</t>
  </si>
  <si>
    <t xml:space="preserve">Премии гранты </t>
  </si>
  <si>
    <t>350</t>
  </si>
  <si>
    <t>796 03 00</t>
  </si>
  <si>
    <t>ГЦП "Развитие агропромышленного комплекса муниципального образования г. Белогорск на 2013-2020 годы"</t>
  </si>
  <si>
    <t xml:space="preserve"> ДЦП"Обеспечение жильем молодых семей на 2011-2015гг"</t>
  </si>
  <si>
    <t xml:space="preserve">100 88 20 </t>
  </si>
  <si>
    <t>Субсидии гражданам на приобретение жилья</t>
  </si>
  <si>
    <t>Мероприятия по обеспечению жильем молодых семей</t>
  </si>
  <si>
    <t>602 01 01</t>
  </si>
  <si>
    <t>Ведомственная структура расходов местного бюджета на 2013 год</t>
  </si>
  <si>
    <r>
      <t xml:space="preserve">  РАСХОДЫ МЕСТНОГО БЮДЖЕТА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2013 ГОД</t>
    </r>
  </si>
  <si>
    <t xml:space="preserve">Городская адресная программа "Переселение граждан из аварийного жилищного фонда с учетом необходимости развития малоэтажного жилищного строительства в 2012 -2013 году" </t>
  </si>
  <si>
    <t xml:space="preserve">Кредиторская задолженность за 2012 год  по городской адресной программе " Переселение граждан из аварийного жилищного фонда с учетом необходимости развития малоэтажного жилищного строительства в 2012 году" </t>
  </si>
  <si>
    <t>ДЦП "Развитие образования Амурской области"</t>
  </si>
  <si>
    <t>617 00 00</t>
  </si>
  <si>
    <t>Подпрограмма "Развитие системы образования"</t>
  </si>
  <si>
    <t>617 00 02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</si>
  <si>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</si>
  <si>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</si>
  <si>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 xml:space="preserve"> Модернизация региональных систем общего образования  </t>
  </si>
  <si>
    <t>436 21 01</t>
  </si>
  <si>
    <t xml:space="preserve"> Субсидии автономным учреждениям на иные цели</t>
  </si>
  <si>
    <t>Реализация государственных функций в области физической культуры и спорта</t>
  </si>
  <si>
    <t>487 00 00</t>
  </si>
  <si>
    <t>487 01 00</t>
  </si>
  <si>
    <t>ДЦП "Развитие сельского хозяйства и регулирование рынков сельскохозяйственной продукции, сырья и продовольствия Амурской области на 2013-2020 годы"</t>
  </si>
  <si>
    <t>622 00 00</t>
  </si>
  <si>
    <t>Подпрограмма "Развитие подотрасли животноводства переработки и реализации продукции животноводства на 2013-2020 годы"</t>
  </si>
  <si>
    <t>622 02 00</t>
  </si>
  <si>
    <t>622 02 07</t>
  </si>
  <si>
    <t>Расходы на содержание маточного поголовья свиней</t>
  </si>
  <si>
    <t>622 02 12</t>
  </si>
  <si>
    <t>Итого:</t>
  </si>
  <si>
    <t>Расходы на модернизацию коммунальной инфраструктуры</t>
  </si>
  <si>
    <t>602 05 01</t>
  </si>
  <si>
    <t>602 05 00</t>
  </si>
  <si>
    <t>Подпрограмма "Повышение качества и надежности жилищно- коммунального обслуживания населения Амурской области"</t>
  </si>
  <si>
    <t>630</t>
  </si>
  <si>
    <t>Расходы на содержание маточного поголовья крупного рогатого  скота в личных подворьях граждан</t>
  </si>
  <si>
    <t>Субсидии бюджетам муниципальных образований, отнесенных к монопрофильным,  на софинансирование муниципальных программ по поддержке и развитию субъектов малого предпринимательства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</si>
  <si>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</si>
  <si>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 xml:space="preserve">Кредиторская задолженность за 2012 год  по ГЦП "Развитие наружного освещения города Белогорск  на 2011-2015 годы" </t>
  </si>
  <si>
    <t>Приобретение оборудования для быстровозводимых физкультурно-оздоровительных комплексов, включая металлоконструкции и металлоизделия</t>
  </si>
  <si>
    <t>Приобретение товаров работ, услуг в пользу граждан</t>
  </si>
  <si>
    <t>Субсидии бюджетам субъектов Российской Федерации и муниципальных образований на модернизацию дошкольного образования</t>
  </si>
  <si>
    <t>436 27 00</t>
  </si>
  <si>
    <t>Субсидия некомерческим организациям (за исключением государственных (муниципальных) учреждений)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</si>
  <si>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</si>
  <si>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</si>
  <si>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Резервный фонд Правительства Российской Федерации</t>
  </si>
  <si>
    <t>070 01 00</t>
  </si>
  <si>
    <t>Субсидии юридическим лицам ( кроме муниципальных учреждений)  и физическим лицам-производителям товаров, работ  услуг</t>
  </si>
  <si>
    <t>617 00 04</t>
  </si>
  <si>
    <t>Модернизация регионально-муниципальных систем дошкольного образования</t>
  </si>
  <si>
    <t>100 89 99</t>
  </si>
  <si>
    <t>Реализация мероприятий федеральной целевой программы развития образования на 2011-2015 годы</t>
  </si>
  <si>
    <t>Обеспечение  предоставления жилых помещений детям-сиротам и детям, оставшимся без попечения родителей, лицам  из числа  по договорам найма специализированных жилых помещений (за счет средств федерального бюджета)</t>
  </si>
  <si>
    <t>Обеспечение  предоставления жилых помещений детям-сиротам и детям, оставшимся без попечения родителей, лицам  из числа  по договорам найма специализированных жилых помещений (за счет средств областного бюджета)</t>
  </si>
  <si>
    <t>Субсидии бюджетам  субъектам РФ и муниципальных  образований. "Реализация мероприятий  государственной   программы Российской Федерации "Доступная Среда на 2011-2015 годы"</t>
  </si>
  <si>
    <t>100 90 99</t>
  </si>
  <si>
    <t>Долгосрочная целевая программа "Развитие образования Амурской области на 2012-2015 годы"</t>
  </si>
  <si>
    <t>Создание безбарьерной школьной среды для детей инвалидов</t>
  </si>
  <si>
    <t>617 00 03</t>
  </si>
  <si>
    <t>от 12 ноября 2013 года № 04/28</t>
  </si>
  <si>
    <t>от 12 ноября 2013 года № 04/28
__________2010 г. № ____</t>
  </si>
  <si>
    <t>ВСЕГО    ДОХОДОВ: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</si>
  <si>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</si>
  <si>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</si>
  <si>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</si>
  <si>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00021900000000000151</t>
  </si>
  <si>
    <t xml:space="preserve">Межбюджетные трансферты  бюджетам городских округов  на компенсацию вследствие утраты урожая сельскохозяйственных культур, выращенных в личных подсобных хозяйствах, подвергшиеся  наводнению </t>
  </si>
  <si>
    <t>00020204999040000151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</si>
  <si>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</si>
  <si>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</si>
  <si>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</si>
  <si>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</si>
  <si>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</si>
  <si>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</si>
  <si>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</t>
  </si>
  <si>
    <t>00020203999040000151</t>
  </si>
  <si>
    <t>Субвенции бюджетам городских округов 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</si>
  <si>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</si>
  <si>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</si>
  <si>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</si>
  <si>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</si>
  <si>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</si>
  <si>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</si>
  <si>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</si>
  <si>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 бюджетам городских округов</t>
  </si>
  <si>
    <t>Субвенции бюджетам городских округов  на обеспечение предоставления  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</si>
  <si>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</si>
  <si>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</si>
  <si>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</si>
  <si>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</si>
  <si>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</si>
  <si>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</si>
  <si>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</si>
  <si>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</si>
  <si>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</si>
  <si>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бюджетам  субъектов РФ и муниципальных образований</t>
  </si>
  <si>
    <t>00020203000000000151</t>
  </si>
  <si>
    <t>Субсидии бюджетам городских округов на софинансирование расходов, связанных  с созданием дополнительных  мест для детей дошкольного  возвраста в  дошкольных образовательных  учреждениях</t>
  </si>
  <si>
    <t>00020202999040000151</t>
  </si>
  <si>
    <t>Субсидии бюджетам городских округов на  софинансирование расходов, связанных с созданием  безбарьерной  школьной  среды  для детей-инвалидов</t>
  </si>
  <si>
    <t>Субсидии бюджетам городских округов, отнесенных к монопрофильным, на софинансирование мунципальных программ по поддержке и развитю субъектов малого и среднего предпринимательства.</t>
  </si>
  <si>
    <t>Субсидии  бюджетам городских округов на проведение аварийно-спасательных работ и иных мероприятий, связанных с ликвидацией последствий стихийных бедствий и других чрезвычайных ситуаций</t>
  </si>
  <si>
    <t xml:space="preserve">Субсидии  бюджетам городских округов на содержание маточного поголовья скота в личных подворьях граждан в рамках подпрограммы "Развитие подотрасли животноводства, переработка и реализации продукции животноводства на 2013-2020 годы" </t>
  </si>
  <si>
    <t>Субсидии бюджетам городских округов на модернизацию коммунальной инфраструктуры в рамках подпрограммы "Повышение качества и надежности жилищно-коммунального обслуживания населения Амурской области"</t>
  </si>
  <si>
    <t xml:space="preserve">Субсидия бюджетам городских округов на содержание маточного погодовья свиней по долгосрочной целевой программе "Развитие подотрасли животноводства, переработка и реализации продукции животноводства на 2013-2020 годы"  </t>
  </si>
  <si>
    <t>Субсидии бюджетам городских округов на софинансирование расходов, связанных  с развитием  муниципальных  систем образования</t>
  </si>
  <si>
    <t>Субсидии бюджетам городских округов на осуществление дорожной деятельности в отношении автомобильных дорог  местного значения и сооружений на них</t>
  </si>
  <si>
    <t>Субсидии бюджетам  городских округов на софинансирование расходов по организации коммунального хозяйства в части заготовки топлива</t>
  </si>
  <si>
    <t>Прочие субсидии   бюджетам городских округов</t>
  </si>
  <si>
    <t>Субсидии  бюджетам городских округов  на модернизацию региональных систем дошкольного образвания</t>
  </si>
  <si>
    <t>00020202204040000151</t>
  </si>
  <si>
    <t>Субсидии  бюджетам  городских округов  на модернизацию региональных систем общего образования</t>
  </si>
  <si>
    <t>00020202145040000151</t>
  </si>
  <si>
    <t>Субсидии  бюджетам  городских округов на приобретение оборудования для быстровозводимых физкультурно-оздоровитьльных комплексов, включая металлоконструкции и металлоизделия</t>
  </si>
  <si>
    <t>00020202132040000151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</si>
  <si>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</si>
  <si>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</si>
  <si>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</si>
  <si>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00020202088040004151</t>
  </si>
  <si>
    <t>Субсидии бюджетам городских округов на реализацию федеральных целевых программ</t>
  </si>
  <si>
    <t>00020202051040000151</t>
  </si>
  <si>
    <t>Субсидии  бюджетам городских округов  на обеспечение жильем молодых семей</t>
  </si>
  <si>
    <t>00020202008040000151</t>
  </si>
  <si>
    <t>Субсидии  бюджетам  субъектов РФ и муниципальных образований</t>
  </si>
  <si>
    <t>00020202000000000151</t>
  </si>
  <si>
    <t>Дотации бюджетам городских округов на поддержку мер по обеспечению сбалансированности бюджетов</t>
  </si>
  <si>
    <t>00020201003040000151</t>
  </si>
  <si>
    <t xml:space="preserve">Дотации бюджетам городских округов на выравнивание бюджетной обеспеченности </t>
  </si>
  <si>
    <t>00020201001040000151</t>
  </si>
  <si>
    <t xml:space="preserve">Дотации  бюджетам  субъектов Россиской Федерации и муниципальных образований </t>
  </si>
  <si>
    <t>00020201000000000151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</si>
  <si>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</si>
  <si>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</si>
  <si>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</si>
  <si>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</si>
  <si>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ИТОГО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</si>
  <si>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</si>
  <si>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</si>
  <si>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</si>
  <si>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</si>
  <si>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</si>
  <si>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</si>
  <si>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</si>
  <si>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00011643000010000140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</si>
  <si>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</si>
  <si>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</si>
  <si>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</si>
  <si>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</si>
  <si>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</si>
  <si>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</si>
  <si>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</si>
  <si>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</si>
  <si>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</si>
  <si>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</si>
  <si>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 об охране  и использовании животного мира</t>
  </si>
  <si>
    <t>00011625030010000140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</si>
  <si>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</si>
  <si>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</si>
  <si>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</si>
  <si>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</si>
  <si>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</si>
  <si>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</si>
  <si>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</si>
  <si>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</si>
  <si>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</si>
  <si>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</si>
  <si>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</si>
  <si>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</si>
  <si>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</si>
  <si>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</si>
  <si>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</si>
  <si>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00011402043040000410</t>
  </si>
  <si>
    <t>ДОХОДЫ ОТ ПРОДАЖИ МАТЕРИАЛЬНЫХ И НЕМАТЕРИАЛЬНЫХ АКТИВОВ</t>
  </si>
  <si>
    <t>00011400000000000000</t>
  </si>
  <si>
    <t>Прочие доходы от компенсации затрат бюджетов городских округов</t>
  </si>
  <si>
    <t>00011302994040000130</t>
  </si>
  <si>
    <t>Прочие доходы от  оказания  платных услуг (работ)   получателями средств  бюджетов городских округов</t>
  </si>
  <si>
    <t>00011301994040000130</t>
  </si>
  <si>
    <t>ДОХОДЫ ОТ ОКАЗАНИЯ ПЛАТНЫХ УСЛУГ (РАБОТ) И КОМПЕНСАЦИИ ЗАТРАТ ГОСУДАРСТВА</t>
  </si>
  <si>
    <t>00011300000000000000</t>
  </si>
  <si>
    <t>Плата за размещение отходов производства и потребления</t>
  </si>
  <si>
    <t>00011201040010000120</t>
  </si>
  <si>
    <t>Плата за выбросы загрязняющих веществ в водные объекты</t>
  </si>
  <si>
    <t>00011201030010000120</t>
  </si>
  <si>
    <t>Плата за выбросы загрязняющих веществ в атмосферный воздух  передвижными объектами</t>
  </si>
  <si>
    <t>00011201020010000120</t>
  </si>
  <si>
    <t>Плата за выбросы загрязняющих веществ в атмосферный воздух стационарными объектами</t>
  </si>
  <si>
    <t>00011201010010000120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</si>
  <si>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</si>
  <si>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</si>
  <si>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</si>
  <si>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</si>
  <si>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</si>
  <si>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</si>
  <si>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</si>
  <si>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</si>
  <si>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</si>
  <si>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00011105012040000120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</si>
  <si>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</si>
  <si>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</si>
  <si>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</si>
  <si>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</si>
  <si>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</si>
  <si>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</si>
  <si>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</si>
  <si>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</si>
  <si>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</si>
  <si>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</si>
  <si>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</si>
  <si>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</si>
  <si>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</si>
  <si>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</si>
  <si>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</si>
  <si>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</si>
  <si>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</si>
  <si>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</si>
  <si>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</si>
  <si>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</si>
  <si>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</si>
  <si>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</si>
  <si>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</si>
  <si>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</si>
  <si>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</si>
  <si>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</si>
  <si>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</si>
  <si>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</si>
  <si>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Налог, взимаемый  в связи  с применением  патентной системы налогообложения, зачисляемый в бюджеты городских округов</t>
  </si>
  <si>
    <t>00010504010020000110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</si>
  <si>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</si>
  <si>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</si>
  <si>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</si>
  <si>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</si>
  <si>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</si>
  <si>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</si>
  <si>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</si>
  <si>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</si>
  <si>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</si>
  <si>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00010102030010000110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</si>
  <si>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</si>
  <si>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</si>
  <si>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</si>
  <si>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</si>
  <si>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</si>
  <si>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</si>
  <si>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</si>
  <si>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</si>
  <si>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</si>
  <si>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</si>
  <si>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Плановые назначения на 2013 год</t>
  </si>
  <si>
    <t>Наименование показателей</t>
  </si>
  <si>
    <t>Коды бюджетной                         классификации Российской Федерации</t>
  </si>
  <si>
    <t>Доходы местного бюджета на 2013 год</t>
  </si>
  <si>
    <t>Совета народных депутатов</t>
  </si>
  <si>
    <t xml:space="preserve">к решению Белогорского городского                                                  </t>
  </si>
  <si>
    <t xml:space="preserve">Приложение № 1    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</si>
  <si>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</si>
  <si>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</si>
  <si>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</si>
  <si>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</si>
  <si>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</t>
  </si>
  <si>
    <t>Муниципальные  внутренние  заимствования</t>
  </si>
  <si>
    <t xml:space="preserve">  муниципального образования г. Белогорск  на  2013 год</t>
  </si>
  <si>
    <t xml:space="preserve">Программа муниципальных  внутренних  заимствований  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</si>
  <si>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</si>
  <si>
    <t>ВСЕГО:</t>
  </si>
  <si>
    <t>Итого по разделу 7:</t>
  </si>
  <si>
    <t>в том числе:</t>
  </si>
  <si>
    <t>ГЦП "Развитие физической культуры и спорта на территории города Белогорск на 2012-2014 годы"</t>
  </si>
  <si>
    <t>7.3</t>
  </si>
  <si>
    <t>7.2</t>
  </si>
  <si>
    <t>ГЦП "Развитие и сохранение культуры и искусства  г.Белогорска на 2012-2015 годы"</t>
  </si>
  <si>
    <t>7.1</t>
  </si>
  <si>
    <t>7. Муниципальное казенное учреждение "Управление культуры Администрации г.Белогорск"</t>
  </si>
  <si>
    <t>Итого по разделу 6:</t>
  </si>
  <si>
    <t>ГЦП "Профилактика терроризма и экстремизма на территории муниципального образования г. Белогорск на 2012-2013 годы"</t>
  </si>
  <si>
    <t>6.5</t>
  </si>
  <si>
    <t>6.4</t>
  </si>
  <si>
    <t>6.3</t>
  </si>
  <si>
    <t>ГЦП "Меры адресной поддержки отдельных категорий граждан г. Белогорска  на 2009 - 2015 годы"</t>
  </si>
  <si>
    <t>6.2</t>
  </si>
  <si>
    <t>в том числе :</t>
  </si>
  <si>
    <t>ГЦП "Развитие  образования  г. Белогорск на 2011-2015 годы"</t>
  </si>
  <si>
    <t>6.1</t>
  </si>
  <si>
    <t>6. Муниципальное казенное учреждение "Комитет по образованию, делам молодежи Администрации города Белогорск"</t>
  </si>
  <si>
    <t>Итого по разделу 5:</t>
  </si>
  <si>
    <t>ГЦП " Накопление имущества радиационной, химической, биологической и медицинской  защиты в запасе города Белогорск в период с 2009 по 2021 годы"</t>
  </si>
  <si>
    <t>5.1</t>
  </si>
  <si>
    <t>5. Муниципальное казенное учреждение "Управление по делам гражданской обороны и чрезвычайным ситуациям города Белогорск"</t>
  </si>
  <si>
    <t>Итого по разделу 4:</t>
  </si>
  <si>
    <t>ГЦП "Социальное и экономическое развитие с.Низинное муниципального образования города Белогорск на 2011-2013 годы"</t>
  </si>
  <si>
    <t>4.2</t>
  </si>
  <si>
    <t>4.1</t>
  </si>
  <si>
    <t xml:space="preserve">   4. Муниципальное казенное учреждение "Управление по физической культуре и спорту Администрации города Белогорск"</t>
  </si>
  <si>
    <t>Итого по разделу 3:</t>
  </si>
  <si>
    <t>3.6</t>
  </si>
  <si>
    <t>3.5</t>
  </si>
  <si>
    <t>ГЦП "Развитие наружного освещения города Белогорск на 2011-2015 годы"</t>
  </si>
  <si>
    <t>3.4</t>
  </si>
  <si>
    <t>3.3</t>
  </si>
  <si>
    <t>ГЦП "Реформирование и модернизация жилищно-коммунального комплекса г.Белогорск на 2009-2015 годы"</t>
  </si>
  <si>
    <t>3.2</t>
  </si>
  <si>
    <t>ГЦП "Развитие дорожной сети  г.Белогорска на 2009-2017 годы"</t>
  </si>
  <si>
    <t>3.1</t>
  </si>
  <si>
    <t>3. Муниципальное казенное учреждение "Управление жилищно-коммунального хозяйства Администрации города Белогорск"</t>
  </si>
  <si>
    <t>Итого по разделу 2:</t>
  </si>
  <si>
    <t>2.1</t>
  </si>
  <si>
    <t>2. Муниципальное казенное учреждение "Комитет имущественных отношений Администрации города Белогорск"</t>
  </si>
  <si>
    <t>Итого по разделу 1:</t>
  </si>
  <si>
    <t>1.9</t>
  </si>
  <si>
    <t>1.8.</t>
  </si>
  <si>
    <t>1.7</t>
  </si>
  <si>
    <t>1.6</t>
  </si>
  <si>
    <t>1.5</t>
  </si>
  <si>
    <t>1.4</t>
  </si>
  <si>
    <t>1.3</t>
  </si>
  <si>
    <t>1.2</t>
  </si>
  <si>
    <t>ГЦП "Создание условий для развития малого и среднего бизнеса в г.Белогорске на 2011-2015 годы"</t>
  </si>
  <si>
    <t>1.1</t>
  </si>
  <si>
    <t>1.  Администрация города Белогорск</t>
  </si>
  <si>
    <t>План на 2013 год</t>
  </si>
  <si>
    <t>Наименование  раздела/программы</t>
  </si>
  <si>
    <t>№ п/п</t>
  </si>
  <si>
    <t>предусмотренных к финансированию из местного бюджета на 2013 год</t>
  </si>
  <si>
    <t>долгосрочных городских целевых программ,</t>
  </si>
  <si>
    <t>ПЕРЕЧЕНЬ</t>
  </si>
  <si>
    <t>Приложение № 7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</si>
  <si>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</si>
  <si>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</si>
  <si>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</si>
  <si>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</si>
  <si>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</si>
  <si>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</si>
  <si>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</si>
  <si>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</si>
  <si>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</si>
  <si>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</si>
  <si>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</si>
  <si>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</si>
  <si>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</si>
  <si>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</si>
  <si>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</si>
  <si>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</si>
  <si>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</si>
  <si>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</si>
  <si>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</si>
  <si>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00301030100040000810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</si>
  <si>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</si>
  <si>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00301030100000000800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</si>
  <si>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</si>
  <si>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00301030100040000710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</si>
  <si>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</si>
  <si>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00301030100000000700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</si>
  <si>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</si>
  <si>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</si>
  <si>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</si>
  <si>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</si>
  <si>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</si>
  <si>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</si>
  <si>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</si>
  <si>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</si>
  <si>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</si>
  <si>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</si>
  <si>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</si>
  <si>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</si>
  <si>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(тыс. руб.)</t>
  </si>
  <si>
    <t>дефицита местного бюджета на 2013 год</t>
  </si>
  <si>
    <t>Источники внутреннего финансирования</t>
  </si>
  <si>
    <t xml:space="preserve"> от 12 ноября 2013 года № 04/28</t>
  </si>
  <si>
    <t>к решению Белогорского городского</t>
  </si>
  <si>
    <t>Приложение №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</si>
</sst>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/>
    </xf>
    <xf numFmtId="0" fontId="11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65" fontId="3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2" fillId="0" borderId="20" xfId="0" applyNumberFormat="1" applyFont="1" applyFill="1" applyBorder="1" applyAlignment="1">
      <alignment horizontal="right" vertical="center"/>
    </xf>
    <xf numFmtId="164" fontId="12" fillId="33" borderId="20" xfId="0" applyNumberFormat="1" applyFont="1" applyFill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164" fontId="12" fillId="0" borderId="14" xfId="0" applyNumberFormat="1" applyFont="1" applyBorder="1" applyAlignment="1">
      <alignment horizontal="right" vertical="center"/>
    </xf>
    <xf numFmtId="164" fontId="11" fillId="0" borderId="20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11" fillId="0" borderId="19" xfId="0" applyNumberFormat="1" applyFont="1" applyFill="1" applyBorder="1" applyAlignment="1">
      <alignment horizontal="right" vertical="center"/>
    </xf>
    <xf numFmtId="164" fontId="12" fillId="0" borderId="2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66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68" fillId="0" borderId="10" xfId="0" applyNumberFormat="1" applyFont="1" applyFill="1" applyBorder="1" applyAlignment="1">
      <alignment horizontal="center" vertical="top"/>
    </xf>
    <xf numFmtId="49" fontId="68" fillId="0" borderId="10" xfId="0" applyNumberFormat="1" applyFont="1" applyFill="1" applyBorder="1" applyAlignment="1">
      <alignment horizontal="right" vertical="top"/>
    </xf>
    <xf numFmtId="164" fontId="68" fillId="0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right" vertical="top"/>
    </xf>
    <xf numFmtId="49" fontId="14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shrinkToFit="1"/>
    </xf>
    <xf numFmtId="49" fontId="6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horizontal="justify" vertical="top" wrapText="1"/>
    </xf>
    <xf numFmtId="0" fontId="15" fillId="0" borderId="14" xfId="0" applyFont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right" vertical="center"/>
    </xf>
    <xf numFmtId="0" fontId="17" fillId="0" borderId="13" xfId="0" applyFont="1" applyFill="1" applyBorder="1" applyAlignment="1">
      <alignment vertical="center" wrapText="1"/>
    </xf>
    <xf numFmtId="49" fontId="69" fillId="0" borderId="10" xfId="0" applyNumberFormat="1" applyFont="1" applyBorder="1" applyAlignment="1">
      <alignment horizontal="justify" vertical="center" wrapText="1"/>
    </xf>
    <xf numFmtId="49" fontId="69" fillId="0" borderId="10" xfId="0" applyNumberFormat="1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right" vertical="top" wrapText="1"/>
    </xf>
    <xf numFmtId="0" fontId="18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vertical="top"/>
    </xf>
    <xf numFmtId="0" fontId="6" fillId="0" borderId="10" xfId="59" applyFont="1" applyFill="1" applyBorder="1" applyAlignment="1">
      <alignment vertical="top" wrapText="1"/>
      <protection/>
    </xf>
    <xf numFmtId="0" fontId="6" fillId="0" borderId="10" xfId="0" applyNumberFormat="1" applyFont="1" applyFill="1" applyBorder="1" applyAlignment="1">
      <alignment wrapText="1"/>
    </xf>
    <xf numFmtId="164" fontId="3" fillId="0" borderId="0" xfId="0" applyNumberFormat="1" applyFont="1" applyAlignment="1">
      <alignment/>
    </xf>
    <xf numFmtId="0" fontId="6" fillId="0" borderId="10" xfId="60" applyFont="1" applyFill="1" applyBorder="1" applyAlignment="1">
      <alignment vertical="top" wrapText="1"/>
      <protection/>
    </xf>
    <xf numFmtId="0" fontId="6" fillId="0" borderId="10" xfId="63" applyFont="1" applyFill="1" applyBorder="1" applyAlignment="1">
      <alignment vertical="top" wrapText="1"/>
      <protection/>
    </xf>
    <xf numFmtId="164" fontId="4" fillId="0" borderId="10" xfId="41" applyNumberFormat="1" applyFont="1" applyFill="1" applyBorder="1" applyAlignment="1">
      <alignment/>
    </xf>
    <xf numFmtId="49" fontId="5" fillId="0" borderId="22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22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right" vertical="center"/>
    </xf>
    <xf numFmtId="164" fontId="6" fillId="34" borderId="10" xfId="0" applyNumberFormat="1" applyFont="1" applyFill="1" applyBorder="1" applyAlignment="1">
      <alignment horizontal="right" vertical="top"/>
    </xf>
    <xf numFmtId="0" fontId="1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 indent="3"/>
    </xf>
    <xf numFmtId="0" fontId="4" fillId="0" borderId="0" xfId="0" applyFont="1" applyFill="1" applyAlignment="1">
      <alignment horizontal="left" indent="3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5" fontId="37" fillId="0" borderId="0" xfId="0" applyNumberFormat="1" applyFont="1" applyBorder="1" applyAlignment="1">
      <alignment vertical="top"/>
    </xf>
    <xf numFmtId="165" fontId="37" fillId="0" borderId="10" xfId="0" applyNumberFormat="1" applyFont="1" applyBorder="1" applyAlignment="1">
      <alignment vertical="top"/>
    </xf>
    <xf numFmtId="0" fontId="37" fillId="0" borderId="24" xfId="0" applyFont="1" applyBorder="1" applyAlignment="1">
      <alignment horizontal="left" vertical="top" wrapText="1"/>
    </xf>
    <xf numFmtId="0" fontId="37" fillId="0" borderId="25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right" vertical="top"/>
    </xf>
    <xf numFmtId="164" fontId="37" fillId="0" borderId="0" xfId="0" applyNumberFormat="1" applyFont="1" applyBorder="1" applyAlignment="1">
      <alignment vertical="top"/>
    </xf>
    <xf numFmtId="164" fontId="37" fillId="0" borderId="10" xfId="0" applyNumberFormat="1" applyFont="1" applyBorder="1" applyAlignment="1">
      <alignment vertical="top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7" fillId="0" borderId="23" xfId="0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top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top" wrapText="1"/>
    </xf>
    <xf numFmtId="0" fontId="39" fillId="0" borderId="25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64" fontId="37" fillId="0" borderId="0" xfId="0" applyNumberFormat="1" applyFont="1" applyFill="1" applyBorder="1" applyAlignment="1">
      <alignment vertical="top"/>
    </xf>
    <xf numFmtId="164" fontId="37" fillId="0" borderId="10" xfId="0" applyNumberFormat="1" applyFont="1" applyFill="1" applyBorder="1" applyAlignment="1">
      <alignment vertical="top"/>
    </xf>
    <xf numFmtId="0" fontId="37" fillId="0" borderId="24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24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right" vertical="top"/>
    </xf>
    <xf numFmtId="49" fontId="38" fillId="0" borderId="10" xfId="0" applyNumberFormat="1" applyFont="1" applyBorder="1" applyAlignment="1">
      <alignment horizontal="right" vertical="top"/>
    </xf>
    <xf numFmtId="0" fontId="41" fillId="0" borderId="24" xfId="0" applyFont="1" applyBorder="1" applyAlignment="1">
      <alignment horizontal="left" vertical="top" wrapText="1"/>
    </xf>
    <xf numFmtId="0" fontId="41" fillId="0" borderId="25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4" fontId="41" fillId="0" borderId="0" xfId="0" applyNumberFormat="1" applyFont="1" applyFill="1" applyBorder="1" applyAlignment="1">
      <alignment vertical="top"/>
    </xf>
    <xf numFmtId="164" fontId="41" fillId="0" borderId="10" xfId="0" applyNumberFormat="1" applyFont="1" applyFill="1" applyBorder="1" applyAlignment="1">
      <alignment vertical="top"/>
    </xf>
    <xf numFmtId="164" fontId="18" fillId="0" borderId="10" xfId="0" applyNumberFormat="1" applyFont="1" applyFill="1" applyBorder="1" applyAlignment="1">
      <alignment vertical="top"/>
    </xf>
    <xf numFmtId="0" fontId="41" fillId="0" borderId="24" xfId="0" applyFont="1" applyFill="1" applyBorder="1" applyAlignment="1">
      <alignment horizontal="left" vertical="top" wrapText="1"/>
    </xf>
    <xf numFmtId="0" fontId="41" fillId="0" borderId="25" xfId="0" applyFont="1" applyFill="1" applyBorder="1" applyAlignment="1">
      <alignment horizontal="left" vertical="top" wrapText="1"/>
    </xf>
    <xf numFmtId="0" fontId="41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7" fillId="0" borderId="0" xfId="0" applyNumberFormat="1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0" xfId="0" applyNumberFormat="1" applyFont="1" applyFill="1" applyBorder="1" applyAlignment="1">
      <alignment horizontal="right" vertical="top"/>
    </xf>
    <xf numFmtId="0" fontId="3" fillId="34" borderId="24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left" vertical="top" wrapText="1"/>
    </xf>
    <xf numFmtId="164" fontId="3" fillId="34" borderId="10" xfId="0" applyNumberFormat="1" applyFont="1" applyFill="1" applyBorder="1" applyAlignment="1">
      <alignment vertical="top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right" vertical="center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3" xfId="0" applyNumberFormat="1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center" wrapText="1" indent="11"/>
    </xf>
    <xf numFmtId="0" fontId="3" fillId="0" borderId="0" xfId="0" applyNumberFormat="1" applyFont="1" applyAlignment="1">
      <alignment horizontal="left" vertical="center" wrapText="1" indent="11"/>
    </xf>
    <xf numFmtId="0" fontId="11" fillId="0" borderId="0" xfId="0" applyNumberFormat="1" applyFont="1" applyAlignment="1">
      <alignment horizontal="left" vertical="center" wrapText="1" indent="1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165" fontId="70" fillId="0" borderId="10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left" vertical="center" wrapText="1"/>
    </xf>
    <xf numFmtId="164" fontId="11" fillId="0" borderId="12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0" fillId="0" borderId="0" xfId="0" applyFill="1" applyAlignment="1">
      <alignment/>
    </xf>
    <xf numFmtId="165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top"/>
    </xf>
    <xf numFmtId="165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165" fontId="12" fillId="0" borderId="10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wrapText="1" indent="37"/>
    </xf>
    <xf numFmtId="0" fontId="11" fillId="0" borderId="0" xfId="0" applyFont="1" applyFill="1" applyAlignment="1">
      <alignment horizontal="left" indent="37"/>
    </xf>
    <xf numFmtId="0" fontId="44" fillId="0" borderId="0" xfId="0" applyFont="1" applyFill="1" applyAlignment="1">
      <alignment/>
    </xf>
    <xf numFmtId="164" fontId="0" fillId="0" borderId="0" xfId="0" applyNumberFormat="1" applyAlignment="1">
      <alignment/>
    </xf>
    <xf numFmtId="165" fontId="71" fillId="0" borderId="10" xfId="0" applyNumberFormat="1" applyFont="1" applyFill="1" applyBorder="1" applyAlignment="1">
      <alignment/>
    </xf>
    <xf numFmtId="49" fontId="72" fillId="0" borderId="24" xfId="0" applyNumberFormat="1" applyFont="1" applyBorder="1" applyAlignment="1">
      <alignment horizontal="left" wrapText="1"/>
    </xf>
    <xf numFmtId="49" fontId="72" fillId="0" borderId="23" xfId="0" applyNumberFormat="1" applyFont="1" applyBorder="1" applyAlignment="1">
      <alignment horizontal="left" wrapText="1"/>
    </xf>
    <xf numFmtId="165" fontId="7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70" fillId="0" borderId="10" xfId="0" applyNumberFormat="1" applyFont="1" applyBorder="1" applyAlignment="1">
      <alignment vertical="top"/>
    </xf>
    <xf numFmtId="49" fontId="73" fillId="0" borderId="10" xfId="0" applyNumberFormat="1" applyFont="1" applyBorder="1" applyAlignment="1">
      <alignment vertical="top" wrapText="1"/>
    </xf>
    <xf numFmtId="49" fontId="72" fillId="0" borderId="10" xfId="0" applyNumberFormat="1" applyFont="1" applyBorder="1" applyAlignment="1">
      <alignment vertical="top" wrapText="1"/>
    </xf>
    <xf numFmtId="49" fontId="71" fillId="0" borderId="10" xfId="0" applyNumberFormat="1" applyFont="1" applyBorder="1" applyAlignment="1">
      <alignment vertical="top"/>
    </xf>
    <xf numFmtId="49" fontId="73" fillId="0" borderId="10" xfId="0" applyNumberFormat="1" applyFont="1" applyBorder="1" applyAlignment="1">
      <alignment horizontal="left" vertical="top" wrapText="1"/>
    </xf>
    <xf numFmtId="165" fontId="71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73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4" fillId="0" borderId="0" xfId="0" applyFont="1" applyAlignment="1">
      <alignment horizontal="right"/>
    </xf>
    <xf numFmtId="0" fontId="73" fillId="0" borderId="0" xfId="0" applyFont="1" applyAlignment="1">
      <alignment/>
    </xf>
    <xf numFmtId="0" fontId="71" fillId="0" borderId="0" xfId="0" applyFont="1" applyAlignment="1">
      <alignment horizontal="center"/>
    </xf>
    <xf numFmtId="0" fontId="75" fillId="0" borderId="0" xfId="0" applyFont="1" applyAlignment="1">
      <alignment horizontal="left" indent="24"/>
    </xf>
    <xf numFmtId="0" fontId="71" fillId="0" borderId="0" xfId="0" applyFont="1" applyAlignment="1">
      <alignment horizontal="left" indent="24"/>
    </xf>
    <xf numFmtId="0" fontId="76" fillId="0" borderId="0" xfId="0" applyFont="1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Примечание 10" xfId="71"/>
    <cellStyle name="Примечание 11" xfId="72"/>
    <cellStyle name="Примечание 12" xfId="73"/>
    <cellStyle name="Примечание 13" xfId="74"/>
    <cellStyle name="Примечание 14" xfId="75"/>
    <cellStyle name="Примечание 15" xfId="76"/>
    <cellStyle name="Примечание 16" xfId="77"/>
    <cellStyle name="Примечание 17" xfId="78"/>
    <cellStyle name="Примечание 18" xfId="79"/>
    <cellStyle name="Примечание 2" xfId="80"/>
    <cellStyle name="Примечание 3" xfId="81"/>
    <cellStyle name="Примечание 4" xfId="82"/>
    <cellStyle name="Примечание 5" xfId="83"/>
    <cellStyle name="Примечание 6" xfId="84"/>
    <cellStyle name="Примечание 7" xfId="85"/>
    <cellStyle name="Примечание 8" xfId="86"/>
    <cellStyle name="Примечание 9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1"/>
  <sheetViews>
    <sheetView zoomScale="117" zoomScaleNormal="117" zoomScalePageLayoutView="0" workbookViewId="0" topLeftCell="A4">
      <selection activeCell="D7" sqref="D7:E7"/>
    </sheetView>
  </sheetViews>
  <sheetFormatPr defaultColWidth="9.00390625" defaultRowHeight="12.75"/>
  <cols>
    <col min="1" max="1" width="18.125" style="164" customWidth="1"/>
    <col min="2" max="2" width="14.00390625" style="164" customWidth="1"/>
    <col min="3" max="3" width="9.125" style="164" customWidth="1"/>
    <col min="4" max="4" width="38.375" style="164" customWidth="1"/>
    <col min="5" max="5" width="12.125" style="165" customWidth="1"/>
    <col min="6" max="16384" width="9.125" style="164" customWidth="1"/>
  </cols>
  <sheetData>
    <row r="1" ht="12.75" hidden="1"/>
    <row r="2" spans="3:4" ht="15.75" customHeight="1" hidden="1">
      <c r="C2" s="165"/>
      <c r="D2" s="274"/>
    </row>
    <row r="3" spans="3:4" ht="12.75" customHeight="1" hidden="1">
      <c r="C3" s="165"/>
      <c r="D3" s="270"/>
    </row>
    <row r="4" spans="3:5" ht="17.25" customHeight="1">
      <c r="C4" s="165"/>
      <c r="D4" s="273" t="s">
        <v>773</v>
      </c>
      <c r="E4" s="273"/>
    </row>
    <row r="5" spans="3:5" ht="12.75" customHeight="1">
      <c r="C5" s="165"/>
      <c r="D5" s="272" t="s">
        <v>772</v>
      </c>
      <c r="E5" s="271"/>
    </row>
    <row r="6" spans="3:5" ht="12.75" customHeight="1">
      <c r="C6" s="165"/>
      <c r="D6" s="272" t="s">
        <v>771</v>
      </c>
      <c r="E6" s="271"/>
    </row>
    <row r="7" spans="3:5" ht="12.75" customHeight="1">
      <c r="C7" s="165"/>
      <c r="D7" s="272" t="s">
        <v>578</v>
      </c>
      <c r="E7" s="271"/>
    </row>
    <row r="8" spans="3:4" ht="12.75">
      <c r="C8" s="165"/>
      <c r="D8" s="270"/>
    </row>
    <row r="9" spans="1:5" ht="15.75">
      <c r="A9" s="269" t="s">
        <v>770</v>
      </c>
      <c r="B9" s="269"/>
      <c r="C9" s="269"/>
      <c r="D9" s="269"/>
      <c r="E9" s="268"/>
    </row>
    <row r="10" spans="1:4" ht="15.75" hidden="1">
      <c r="A10" s="267"/>
      <c r="B10" s="267"/>
      <c r="C10" s="267"/>
      <c r="D10" s="267"/>
    </row>
    <row r="11" spans="1:5" ht="12.75">
      <c r="A11" s="266" t="s">
        <v>84</v>
      </c>
      <c r="B11" s="266"/>
      <c r="C11" s="266"/>
      <c r="D11" s="266"/>
      <c r="E11" s="266"/>
    </row>
    <row r="12" spans="1:5" ht="33.75">
      <c r="A12" s="262" t="s">
        <v>769</v>
      </c>
      <c r="B12" s="265" t="s">
        <v>768</v>
      </c>
      <c r="C12" s="264"/>
      <c r="D12" s="263"/>
      <c r="E12" s="262" t="s">
        <v>767</v>
      </c>
    </row>
    <row r="13" spans="1:5" ht="12.75">
      <c r="A13" s="258">
        <v>1</v>
      </c>
      <c r="B13" s="261">
        <v>2</v>
      </c>
      <c r="C13" s="260"/>
      <c r="D13" s="259"/>
      <c r="E13" s="258">
        <v>3</v>
      </c>
    </row>
    <row r="14" spans="1:6" ht="24" customHeight="1">
      <c r="A14" s="223" t="s">
        <v>766</v>
      </c>
      <c r="B14" s="221" t="s">
        <v>765</v>
      </c>
      <c r="C14" s="220"/>
      <c r="D14" s="219"/>
      <c r="E14" s="179">
        <f>E15+E21+E25+E30+E34</f>
        <v>519881</v>
      </c>
      <c r="F14" s="178"/>
    </row>
    <row r="15" spans="1:6" ht="20.25" customHeight="1">
      <c r="A15" s="222" t="s">
        <v>764</v>
      </c>
      <c r="B15" s="230" t="s">
        <v>763</v>
      </c>
      <c r="C15" s="229"/>
      <c r="D15" s="228"/>
      <c r="E15" s="232">
        <f>E16</f>
        <v>410621</v>
      </c>
      <c r="F15" s="231"/>
    </row>
    <row r="16" spans="1:6" ht="18.75" customHeight="1">
      <c r="A16" s="223" t="s">
        <v>762</v>
      </c>
      <c r="B16" s="250" t="s">
        <v>761</v>
      </c>
      <c r="C16" s="249"/>
      <c r="D16" s="248"/>
      <c r="E16" s="173">
        <f>E17+E18+E19+E20</f>
        <v>410621</v>
      </c>
      <c r="F16" s="184"/>
    </row>
    <row r="17" spans="1:6" ht="56.25" customHeight="1">
      <c r="A17" s="223" t="s">
        <v>760</v>
      </c>
      <c r="B17" s="250" t="s">
        <v>759</v>
      </c>
      <c r="C17" s="249"/>
      <c r="D17" s="248"/>
      <c r="E17" s="173">
        <v>406815</v>
      </c>
      <c r="F17" s="184"/>
    </row>
    <row r="18" spans="1:6" ht="93" customHeight="1">
      <c r="A18" s="223" t="s">
        <v>758</v>
      </c>
      <c r="B18" s="250" t="s">
        <v>757</v>
      </c>
      <c r="C18" s="249"/>
      <c r="D18" s="248"/>
      <c r="E18" s="173">
        <v>2855</v>
      </c>
      <c r="F18" s="184"/>
    </row>
    <row r="19" spans="1:6" ht="51" customHeight="1">
      <c r="A19" s="223" t="s">
        <v>756</v>
      </c>
      <c r="B19" s="250" t="s">
        <v>755</v>
      </c>
      <c r="C19" s="249"/>
      <c r="D19" s="248"/>
      <c r="E19" s="200">
        <v>761</v>
      </c>
      <c r="F19" s="184"/>
    </row>
    <row r="20" spans="1:6" ht="68.25" customHeight="1">
      <c r="A20" s="223" t="s">
        <v>754</v>
      </c>
      <c r="B20" s="257" t="s">
        <v>753</v>
      </c>
      <c r="C20" s="256"/>
      <c r="D20" s="255"/>
      <c r="E20" s="200">
        <v>190</v>
      </c>
      <c r="F20" s="184"/>
    </row>
    <row r="21" spans="1:6" ht="18.75" customHeight="1">
      <c r="A21" s="254" t="s">
        <v>752</v>
      </c>
      <c r="B21" s="253" t="s">
        <v>751</v>
      </c>
      <c r="C21" s="252"/>
      <c r="D21" s="251"/>
      <c r="E21" s="232">
        <f>E22+E23+E24</f>
        <v>73224</v>
      </c>
      <c r="F21" s="231"/>
    </row>
    <row r="22" spans="1:6" ht="20.25" customHeight="1">
      <c r="A22" s="177" t="s">
        <v>750</v>
      </c>
      <c r="B22" s="250" t="s">
        <v>749</v>
      </c>
      <c r="C22" s="249"/>
      <c r="D22" s="248"/>
      <c r="E22" s="200">
        <v>72675</v>
      </c>
      <c r="F22" s="184"/>
    </row>
    <row r="23" spans="1:6" ht="21" customHeight="1">
      <c r="A23" s="177" t="s">
        <v>748</v>
      </c>
      <c r="B23" s="212" t="s">
        <v>747</v>
      </c>
      <c r="C23" s="211"/>
      <c r="D23" s="210"/>
      <c r="E23" s="200">
        <v>84</v>
      </c>
      <c r="F23" s="184"/>
    </row>
    <row r="24" spans="1:6" ht="32.25" customHeight="1">
      <c r="A24" s="177" t="s">
        <v>746</v>
      </c>
      <c r="B24" s="176" t="s">
        <v>745</v>
      </c>
      <c r="C24" s="208"/>
      <c r="D24" s="207"/>
      <c r="E24" s="200">
        <v>465</v>
      </c>
      <c r="F24" s="184"/>
    </row>
    <row r="25" spans="1:6" ht="18" customHeight="1">
      <c r="A25" s="254" t="s">
        <v>744</v>
      </c>
      <c r="B25" s="253" t="s">
        <v>743</v>
      </c>
      <c r="C25" s="252"/>
      <c r="D25" s="251"/>
      <c r="E25" s="232">
        <f>E26+E27</f>
        <v>27541</v>
      </c>
      <c r="F25" s="231"/>
    </row>
    <row r="26" spans="1:6" ht="40.5" customHeight="1">
      <c r="A26" s="177" t="s">
        <v>742</v>
      </c>
      <c r="B26" s="250" t="s">
        <v>741</v>
      </c>
      <c r="C26" s="249"/>
      <c r="D26" s="248"/>
      <c r="E26" s="173">
        <v>8821</v>
      </c>
      <c r="F26" s="184"/>
    </row>
    <row r="27" spans="1:6" ht="20.25" customHeight="1">
      <c r="A27" s="223" t="s">
        <v>740</v>
      </c>
      <c r="B27" s="250" t="s">
        <v>739</v>
      </c>
      <c r="C27" s="249"/>
      <c r="D27" s="248"/>
      <c r="E27" s="173">
        <f>E28+E29</f>
        <v>18720</v>
      </c>
      <c r="F27" s="172"/>
    </row>
    <row r="28" spans="1:6" ht="38.25" customHeight="1">
      <c r="A28" s="223" t="s">
        <v>738</v>
      </c>
      <c r="B28" s="250" t="s">
        <v>737</v>
      </c>
      <c r="C28" s="249"/>
      <c r="D28" s="248"/>
      <c r="E28" s="247">
        <v>3152</v>
      </c>
      <c r="F28" s="184"/>
    </row>
    <row r="29" spans="1:6" ht="39.75" customHeight="1">
      <c r="A29" s="223" t="s">
        <v>736</v>
      </c>
      <c r="B29" s="250" t="s">
        <v>735</v>
      </c>
      <c r="C29" s="249"/>
      <c r="D29" s="248"/>
      <c r="E29" s="247">
        <v>15568</v>
      </c>
      <c r="F29" s="184"/>
    </row>
    <row r="30" spans="1:6" ht="18" customHeight="1">
      <c r="A30" s="222" t="s">
        <v>734</v>
      </c>
      <c r="B30" s="226" t="s">
        <v>733</v>
      </c>
      <c r="C30" s="225"/>
      <c r="D30" s="224"/>
      <c r="E30" s="214">
        <f>E31+E32+E33</f>
        <v>8495</v>
      </c>
      <c r="F30" s="213"/>
    </row>
    <row r="31" spans="1:6" ht="40.5" customHeight="1">
      <c r="A31" s="223" t="s">
        <v>732</v>
      </c>
      <c r="B31" s="212" t="s">
        <v>731</v>
      </c>
      <c r="C31" s="211"/>
      <c r="D31" s="210"/>
      <c r="E31" s="173">
        <v>8325</v>
      </c>
      <c r="F31" s="184"/>
    </row>
    <row r="32" spans="1:6" ht="25.5" customHeight="1">
      <c r="A32" s="223" t="s">
        <v>730</v>
      </c>
      <c r="B32" s="212" t="s">
        <v>729</v>
      </c>
      <c r="C32" s="211"/>
      <c r="D32" s="210"/>
      <c r="E32" s="173">
        <v>110</v>
      </c>
      <c r="F32" s="184"/>
    </row>
    <row r="33" spans="1:6" ht="72.75" customHeight="1">
      <c r="A33" s="246" t="s">
        <v>728</v>
      </c>
      <c r="B33" s="245" t="s">
        <v>727</v>
      </c>
      <c r="C33" s="244"/>
      <c r="D33" s="243"/>
      <c r="E33" s="173">
        <v>60</v>
      </c>
      <c r="F33" s="184"/>
    </row>
    <row r="34" spans="1:5" s="184" customFormat="1" ht="27" customHeight="1">
      <c r="A34" s="222" t="s">
        <v>726</v>
      </c>
      <c r="B34" s="226" t="s">
        <v>725</v>
      </c>
      <c r="C34" s="225"/>
      <c r="D34" s="224"/>
      <c r="E34" s="242">
        <v>0</v>
      </c>
    </row>
    <row r="35" spans="1:5" s="184" customFormat="1" ht="16.5" customHeight="1" hidden="1">
      <c r="A35" s="223" t="s">
        <v>724</v>
      </c>
      <c r="B35" s="212" t="s">
        <v>723</v>
      </c>
      <c r="C35" s="211"/>
      <c r="D35" s="210"/>
      <c r="E35" s="200"/>
    </row>
    <row r="36" spans="1:6" ht="17.25" customHeight="1" hidden="1">
      <c r="A36" s="223" t="s">
        <v>722</v>
      </c>
      <c r="B36" s="212" t="s">
        <v>721</v>
      </c>
      <c r="C36" s="211"/>
      <c r="D36" s="210"/>
      <c r="E36" s="200"/>
      <c r="F36" s="184"/>
    </row>
    <row r="37" spans="1:6" ht="17.25" customHeight="1" hidden="1">
      <c r="A37" s="223"/>
      <c r="B37" s="212" t="s">
        <v>720</v>
      </c>
      <c r="C37" s="211"/>
      <c r="D37" s="210"/>
      <c r="E37" s="200"/>
      <c r="F37" s="184"/>
    </row>
    <row r="38" spans="1:6" ht="16.5" customHeight="1">
      <c r="A38" s="222"/>
      <c r="B38" s="221" t="s">
        <v>719</v>
      </c>
      <c r="C38" s="220"/>
      <c r="D38" s="219"/>
      <c r="E38" s="214">
        <f>E39+E44+E49+E52+E56+E69</f>
        <v>234123.5</v>
      </c>
      <c r="F38" s="213"/>
    </row>
    <row r="39" spans="1:6" ht="37.5" customHeight="1">
      <c r="A39" s="222" t="s">
        <v>718</v>
      </c>
      <c r="B39" s="230" t="s">
        <v>717</v>
      </c>
      <c r="C39" s="229"/>
      <c r="D39" s="228"/>
      <c r="E39" s="241">
        <f>E40+E41+E42+E43</f>
        <v>64660</v>
      </c>
      <c r="F39" s="240"/>
    </row>
    <row r="40" spans="1:6" ht="64.5" customHeight="1">
      <c r="A40" s="177" t="s">
        <v>716</v>
      </c>
      <c r="B40" s="239" t="s">
        <v>715</v>
      </c>
      <c r="C40" s="238"/>
      <c r="D40" s="237"/>
      <c r="E40" s="173">
        <v>15000</v>
      </c>
      <c r="F40" s="184"/>
    </row>
    <row r="41" spans="1:6" ht="51" customHeight="1">
      <c r="A41" s="177" t="s">
        <v>714</v>
      </c>
      <c r="B41" s="239" t="s">
        <v>713</v>
      </c>
      <c r="C41" s="238"/>
      <c r="D41" s="237"/>
      <c r="E41" s="173">
        <v>320</v>
      </c>
      <c r="F41" s="184"/>
    </row>
    <row r="42" spans="1:6" ht="39" customHeight="1">
      <c r="A42" s="177" t="s">
        <v>712</v>
      </c>
      <c r="B42" s="212" t="s">
        <v>711</v>
      </c>
      <c r="C42" s="211"/>
      <c r="D42" s="210"/>
      <c r="E42" s="173">
        <v>220</v>
      </c>
      <c r="F42" s="184"/>
    </row>
    <row r="43" spans="1:6" ht="63" customHeight="1">
      <c r="A43" s="223" t="s">
        <v>710</v>
      </c>
      <c r="B43" s="212" t="s">
        <v>709</v>
      </c>
      <c r="C43" s="211"/>
      <c r="D43" s="210"/>
      <c r="E43" s="173">
        <v>49120</v>
      </c>
      <c r="F43" s="184"/>
    </row>
    <row r="44" spans="1:6" ht="17.25" customHeight="1">
      <c r="A44" s="222" t="s">
        <v>708</v>
      </c>
      <c r="B44" s="230" t="s">
        <v>707</v>
      </c>
      <c r="C44" s="229"/>
      <c r="D44" s="228"/>
      <c r="E44" s="232">
        <f>E45+E46+E47+E48</f>
        <v>2044</v>
      </c>
      <c r="F44" s="231"/>
    </row>
    <row r="45" spans="1:6" ht="26.25" customHeight="1">
      <c r="A45" s="223" t="s">
        <v>706</v>
      </c>
      <c r="B45" s="212" t="s">
        <v>705</v>
      </c>
      <c r="C45" s="211"/>
      <c r="D45" s="210"/>
      <c r="E45" s="233">
        <v>238</v>
      </c>
      <c r="F45" s="184"/>
    </row>
    <row r="46" spans="1:6" ht="26.25" customHeight="1">
      <c r="A46" s="223" t="s">
        <v>704</v>
      </c>
      <c r="B46" s="212" t="s">
        <v>703</v>
      </c>
      <c r="C46" s="211"/>
      <c r="D46" s="210"/>
      <c r="E46" s="233">
        <v>25</v>
      </c>
      <c r="F46" s="184"/>
    </row>
    <row r="47" spans="1:6" ht="17.25" customHeight="1">
      <c r="A47" s="223" t="s">
        <v>702</v>
      </c>
      <c r="B47" s="212" t="s">
        <v>701</v>
      </c>
      <c r="C47" s="211"/>
      <c r="D47" s="210"/>
      <c r="E47" s="233">
        <v>855</v>
      </c>
      <c r="F47" s="184"/>
    </row>
    <row r="48" spans="1:6" ht="17.25" customHeight="1">
      <c r="A48" s="223" t="s">
        <v>700</v>
      </c>
      <c r="B48" s="212" t="s">
        <v>699</v>
      </c>
      <c r="C48" s="211"/>
      <c r="D48" s="210"/>
      <c r="E48" s="233">
        <v>926</v>
      </c>
      <c r="F48" s="184"/>
    </row>
    <row r="49" spans="1:6" ht="26.25" customHeight="1">
      <c r="A49" s="222" t="s">
        <v>698</v>
      </c>
      <c r="B49" s="236" t="s">
        <v>697</v>
      </c>
      <c r="C49" s="235"/>
      <c r="D49" s="234"/>
      <c r="E49" s="232">
        <f>E51+E50</f>
        <v>785</v>
      </c>
      <c r="F49" s="231"/>
    </row>
    <row r="50" spans="1:6" ht="26.25" customHeight="1">
      <c r="A50" s="177" t="s">
        <v>696</v>
      </c>
      <c r="B50" s="176" t="s">
        <v>695</v>
      </c>
      <c r="C50" s="208"/>
      <c r="D50" s="207"/>
      <c r="E50" s="233">
        <v>535</v>
      </c>
      <c r="F50" s="184"/>
    </row>
    <row r="51" spans="1:6" ht="18.75" customHeight="1">
      <c r="A51" s="177" t="s">
        <v>694</v>
      </c>
      <c r="B51" s="176" t="s">
        <v>693</v>
      </c>
      <c r="C51" s="208"/>
      <c r="D51" s="207"/>
      <c r="E51" s="200">
        <v>250</v>
      </c>
      <c r="F51" s="184"/>
    </row>
    <row r="52" spans="1:6" ht="24.75" customHeight="1">
      <c r="A52" s="222" t="s">
        <v>692</v>
      </c>
      <c r="B52" s="230" t="s">
        <v>691</v>
      </c>
      <c r="C52" s="229"/>
      <c r="D52" s="228"/>
      <c r="E52" s="232">
        <f>E53+E54+E55</f>
        <v>161000</v>
      </c>
      <c r="F52" s="231"/>
    </row>
    <row r="53" spans="1:6" ht="66" customHeight="1">
      <c r="A53" s="177" t="s">
        <v>690</v>
      </c>
      <c r="B53" s="212" t="s">
        <v>689</v>
      </c>
      <c r="C53" s="211"/>
      <c r="D53" s="210"/>
      <c r="E53" s="173">
        <v>121000</v>
      </c>
      <c r="F53" s="184"/>
    </row>
    <row r="54" spans="1:6" ht="38.25" customHeight="1">
      <c r="A54" s="223" t="s">
        <v>688</v>
      </c>
      <c r="B54" s="212" t="s">
        <v>687</v>
      </c>
      <c r="C54" s="211"/>
      <c r="D54" s="210"/>
      <c r="E54" s="200">
        <v>35000</v>
      </c>
      <c r="F54" s="184"/>
    </row>
    <row r="55" spans="1:6" ht="39.75" customHeight="1">
      <c r="A55" s="223" t="s">
        <v>686</v>
      </c>
      <c r="B55" s="212" t="s">
        <v>685</v>
      </c>
      <c r="C55" s="211"/>
      <c r="D55" s="210"/>
      <c r="E55" s="173">
        <v>5000</v>
      </c>
      <c r="F55" s="184"/>
    </row>
    <row r="56" spans="1:6" ht="18" customHeight="1">
      <c r="A56" s="222" t="s">
        <v>684</v>
      </c>
      <c r="B56" s="230" t="s">
        <v>683</v>
      </c>
      <c r="C56" s="229"/>
      <c r="D56" s="228"/>
      <c r="E56" s="179">
        <f>E57+E58+E59+E60+E64+E65+E66+E67+E68</f>
        <v>5634.5</v>
      </c>
      <c r="F56" s="178"/>
    </row>
    <row r="57" spans="1:6" ht="65.25" customHeight="1">
      <c r="A57" s="223" t="s">
        <v>682</v>
      </c>
      <c r="B57" s="176" t="s">
        <v>681</v>
      </c>
      <c r="C57" s="208"/>
      <c r="D57" s="207"/>
      <c r="E57" s="173">
        <v>61</v>
      </c>
      <c r="F57" s="184"/>
    </row>
    <row r="58" spans="1:6" ht="39" customHeight="1">
      <c r="A58" s="223" t="s">
        <v>680</v>
      </c>
      <c r="B58" s="212" t="s">
        <v>679</v>
      </c>
      <c r="C58" s="211"/>
      <c r="D58" s="210"/>
      <c r="E58" s="173">
        <v>60</v>
      </c>
      <c r="F58" s="184"/>
    </row>
    <row r="59" spans="1:6" ht="54.75" customHeight="1">
      <c r="A59" s="223" t="s">
        <v>678</v>
      </c>
      <c r="B59" s="212" t="s">
        <v>677</v>
      </c>
      <c r="C59" s="211"/>
      <c r="D59" s="210"/>
      <c r="E59" s="173">
        <v>167</v>
      </c>
      <c r="F59" s="184"/>
    </row>
    <row r="60" spans="1:6" ht="68.25" customHeight="1">
      <c r="A60" s="177" t="s">
        <v>676</v>
      </c>
      <c r="B60" s="212" t="s">
        <v>675</v>
      </c>
      <c r="C60" s="211"/>
      <c r="D60" s="210"/>
      <c r="E60" s="173">
        <f>E61+E62+E63</f>
        <v>133.5</v>
      </c>
      <c r="F60" s="184"/>
    </row>
    <row r="61" spans="1:6" ht="36" customHeight="1">
      <c r="A61" s="223" t="s">
        <v>674</v>
      </c>
      <c r="B61" s="212" t="s">
        <v>673</v>
      </c>
      <c r="C61" s="211"/>
      <c r="D61" s="210"/>
      <c r="E61" s="173">
        <v>24.5</v>
      </c>
      <c r="F61" s="184"/>
    </row>
    <row r="62" spans="1:6" ht="27.75" customHeight="1">
      <c r="A62" s="223" t="s">
        <v>672</v>
      </c>
      <c r="B62" s="212" t="s">
        <v>671</v>
      </c>
      <c r="C62" s="211"/>
      <c r="D62" s="210"/>
      <c r="E62" s="173">
        <v>30</v>
      </c>
      <c r="F62" s="184"/>
    </row>
    <row r="63" spans="1:6" ht="30" customHeight="1">
      <c r="A63" s="223" t="s">
        <v>670</v>
      </c>
      <c r="B63" s="212" t="s">
        <v>669</v>
      </c>
      <c r="C63" s="211"/>
      <c r="D63" s="210"/>
      <c r="E63" s="173">
        <v>79</v>
      </c>
      <c r="F63" s="184"/>
    </row>
    <row r="64" spans="1:6" ht="42.75" customHeight="1">
      <c r="A64" s="223" t="s">
        <v>668</v>
      </c>
      <c r="B64" s="212" t="s">
        <v>667</v>
      </c>
      <c r="C64" s="211"/>
      <c r="D64" s="210"/>
      <c r="E64" s="173">
        <v>1100</v>
      </c>
      <c r="F64" s="184"/>
    </row>
    <row r="65" spans="1:6" ht="43.5" customHeight="1">
      <c r="A65" s="223" t="s">
        <v>666</v>
      </c>
      <c r="B65" s="212" t="s">
        <v>665</v>
      </c>
      <c r="C65" s="211"/>
      <c r="D65" s="210"/>
      <c r="E65" s="227">
        <v>60</v>
      </c>
      <c r="F65" s="184"/>
    </row>
    <row r="66" spans="1:6" ht="39.75" customHeight="1">
      <c r="A66" s="223" t="s">
        <v>664</v>
      </c>
      <c r="B66" s="212" t="s">
        <v>663</v>
      </c>
      <c r="C66" s="211"/>
      <c r="D66" s="210"/>
      <c r="E66" s="200">
        <v>130</v>
      </c>
      <c r="F66" s="184"/>
    </row>
    <row r="67" spans="1:6" ht="51" customHeight="1">
      <c r="A67" s="223" t="s">
        <v>662</v>
      </c>
      <c r="B67" s="212" t="s">
        <v>661</v>
      </c>
      <c r="C67" s="186"/>
      <c r="D67" s="185"/>
      <c r="E67" s="200">
        <v>132</v>
      </c>
      <c r="F67" s="184"/>
    </row>
    <row r="68" spans="1:6" ht="28.5" customHeight="1">
      <c r="A68" s="223" t="s">
        <v>660</v>
      </c>
      <c r="B68" s="212" t="s">
        <v>659</v>
      </c>
      <c r="C68" s="211"/>
      <c r="D68" s="210"/>
      <c r="E68" s="200">
        <v>3791</v>
      </c>
      <c r="F68" s="184"/>
    </row>
    <row r="69" spans="1:6" ht="16.5" customHeight="1">
      <c r="A69" s="222" t="s">
        <v>658</v>
      </c>
      <c r="B69" s="226" t="s">
        <v>657</v>
      </c>
      <c r="C69" s="225"/>
      <c r="D69" s="224"/>
      <c r="E69" s="214">
        <f>+E70</f>
        <v>0</v>
      </c>
      <c r="F69" s="213"/>
    </row>
    <row r="70" spans="1:6" ht="21" customHeight="1">
      <c r="A70" s="223" t="s">
        <v>656</v>
      </c>
      <c r="B70" s="212" t="s">
        <v>655</v>
      </c>
      <c r="C70" s="211"/>
      <c r="D70" s="210"/>
      <c r="E70" s="173">
        <v>0</v>
      </c>
      <c r="F70" s="184"/>
    </row>
    <row r="71" spans="1:6" ht="16.5" customHeight="1">
      <c r="A71" s="222"/>
      <c r="B71" s="221" t="s">
        <v>654</v>
      </c>
      <c r="C71" s="220"/>
      <c r="D71" s="219"/>
      <c r="E71" s="179">
        <f>E38+E14</f>
        <v>754004.5</v>
      </c>
      <c r="F71" s="178"/>
    </row>
    <row r="72" spans="1:6" ht="16.5" customHeight="1">
      <c r="A72" s="177" t="s">
        <v>653</v>
      </c>
      <c r="B72" s="218" t="s">
        <v>652</v>
      </c>
      <c r="C72" s="218"/>
      <c r="D72" s="218"/>
      <c r="E72" s="179">
        <f>E73+E117</f>
        <v>1763240</v>
      </c>
      <c r="F72" s="178"/>
    </row>
    <row r="73" spans="1:6" ht="27" customHeight="1">
      <c r="A73" s="177" t="s">
        <v>651</v>
      </c>
      <c r="B73" s="218" t="s">
        <v>650</v>
      </c>
      <c r="C73" s="218"/>
      <c r="D73" s="218"/>
      <c r="E73" s="214">
        <f>E74+E77+E96+E112</f>
        <v>1780129.1</v>
      </c>
      <c r="F73" s="213"/>
    </row>
    <row r="74" spans="1:6" ht="27" customHeight="1">
      <c r="A74" s="183" t="s">
        <v>649</v>
      </c>
      <c r="B74" s="217" t="s">
        <v>648</v>
      </c>
      <c r="C74" s="216"/>
      <c r="D74" s="215"/>
      <c r="E74" s="214">
        <f>E75+E76</f>
        <v>83865</v>
      </c>
      <c r="F74" s="213"/>
    </row>
    <row r="75" spans="1:6" ht="28.5" customHeight="1">
      <c r="A75" s="177" t="s">
        <v>647</v>
      </c>
      <c r="B75" s="212" t="s">
        <v>646</v>
      </c>
      <c r="C75" s="211"/>
      <c r="D75" s="210"/>
      <c r="E75" s="173">
        <v>1885.2</v>
      </c>
      <c r="F75" s="184"/>
    </row>
    <row r="76" spans="1:9" ht="28.5" customHeight="1">
      <c r="A76" s="177" t="s">
        <v>645</v>
      </c>
      <c r="B76" s="212" t="s">
        <v>644</v>
      </c>
      <c r="C76" s="211"/>
      <c r="D76" s="210"/>
      <c r="E76" s="173">
        <v>81979.8</v>
      </c>
      <c r="F76" s="184"/>
      <c r="G76" s="209"/>
      <c r="H76" s="209"/>
      <c r="I76" s="209"/>
    </row>
    <row r="77" spans="1:6" ht="22.5" customHeight="1">
      <c r="A77" s="183" t="s">
        <v>643</v>
      </c>
      <c r="B77" s="182" t="s">
        <v>642</v>
      </c>
      <c r="C77" s="204"/>
      <c r="D77" s="203"/>
      <c r="E77" s="179">
        <f>E78+E79+E80+E81+E82+E83+E84+E85</f>
        <v>1330022.7</v>
      </c>
      <c r="F77" s="178"/>
    </row>
    <row r="78" spans="1:6" ht="28.5" customHeight="1">
      <c r="A78" s="177" t="s">
        <v>641</v>
      </c>
      <c r="B78" s="176" t="s">
        <v>640</v>
      </c>
      <c r="C78" s="208"/>
      <c r="D78" s="207"/>
      <c r="E78" s="173">
        <v>1909.9</v>
      </c>
      <c r="F78" s="184"/>
    </row>
    <row r="79" spans="1:6" ht="28.5" customHeight="1">
      <c r="A79" s="177" t="s">
        <v>639</v>
      </c>
      <c r="B79" s="192" t="s">
        <v>638</v>
      </c>
      <c r="C79" s="206"/>
      <c r="D79" s="205"/>
      <c r="E79" s="200">
        <v>5798.1</v>
      </c>
      <c r="F79" s="184"/>
    </row>
    <row r="80" spans="1:6" ht="68.25" customHeight="1">
      <c r="A80" s="177" t="s">
        <v>637</v>
      </c>
      <c r="B80" s="192" t="s">
        <v>636</v>
      </c>
      <c r="C80" s="206"/>
      <c r="D80" s="205"/>
      <c r="E80" s="173">
        <v>679647.3</v>
      </c>
      <c r="F80" s="184"/>
    </row>
    <row r="81" spans="1:8" ht="53.25" customHeight="1">
      <c r="A81" s="177" t="s">
        <v>635</v>
      </c>
      <c r="B81" s="192" t="s">
        <v>634</v>
      </c>
      <c r="C81" s="206"/>
      <c r="D81" s="205"/>
      <c r="E81" s="173">
        <v>0.5</v>
      </c>
      <c r="F81" s="184"/>
      <c r="H81" s="172"/>
    </row>
    <row r="82" spans="1:8" ht="39.75" customHeight="1">
      <c r="A82" s="177" t="s">
        <v>633</v>
      </c>
      <c r="B82" s="192" t="s">
        <v>632</v>
      </c>
      <c r="C82" s="197"/>
      <c r="D82" s="196"/>
      <c r="E82" s="173">
        <v>53801.1</v>
      </c>
      <c r="F82" s="184"/>
      <c r="H82" s="172"/>
    </row>
    <row r="83" spans="1:8" ht="29.25" customHeight="1">
      <c r="A83" s="177" t="s">
        <v>631</v>
      </c>
      <c r="B83" s="192" t="s">
        <v>630</v>
      </c>
      <c r="C83" s="197"/>
      <c r="D83" s="196"/>
      <c r="E83" s="173">
        <v>5019.3</v>
      </c>
      <c r="F83" s="184"/>
      <c r="H83" s="172"/>
    </row>
    <row r="84" spans="1:8" ht="31.5" customHeight="1">
      <c r="A84" s="177" t="s">
        <v>629</v>
      </c>
      <c r="B84" s="192" t="s">
        <v>628</v>
      </c>
      <c r="C84" s="197"/>
      <c r="D84" s="196"/>
      <c r="E84" s="173">
        <v>93771.4</v>
      </c>
      <c r="F84" s="184"/>
      <c r="H84" s="172"/>
    </row>
    <row r="85" spans="1:6" ht="28.5" customHeight="1">
      <c r="A85" s="183" t="s">
        <v>617</v>
      </c>
      <c r="B85" s="182" t="s">
        <v>627</v>
      </c>
      <c r="C85" s="204"/>
      <c r="D85" s="203"/>
      <c r="E85" s="179">
        <f>E86+E87+E88+E89+E90+E91+E92+E93+E94+E95</f>
        <v>490075.1</v>
      </c>
      <c r="F85" s="178"/>
    </row>
    <row r="86" spans="1:6" ht="33" customHeight="1">
      <c r="A86" s="177" t="s">
        <v>617</v>
      </c>
      <c r="B86" s="192" t="s">
        <v>626</v>
      </c>
      <c r="C86" s="199"/>
      <c r="D86" s="198"/>
      <c r="E86" s="200">
        <v>355324.8</v>
      </c>
      <c r="F86" s="184"/>
    </row>
    <row r="87" spans="1:6" ht="39.75" customHeight="1">
      <c r="A87" s="177" t="s">
        <v>617</v>
      </c>
      <c r="B87" s="192" t="s">
        <v>625</v>
      </c>
      <c r="C87" s="199"/>
      <c r="D87" s="198"/>
      <c r="E87" s="173">
        <v>65662.7</v>
      </c>
      <c r="F87" s="184"/>
    </row>
    <row r="88" spans="1:6" ht="45" customHeight="1">
      <c r="A88" s="177" t="s">
        <v>617</v>
      </c>
      <c r="B88" s="192" t="s">
        <v>624</v>
      </c>
      <c r="C88" s="199"/>
      <c r="D88" s="198"/>
      <c r="E88" s="173">
        <v>8414</v>
      </c>
      <c r="F88" s="184"/>
    </row>
    <row r="89" spans="1:6" ht="65.25" customHeight="1">
      <c r="A89" s="177" t="s">
        <v>617</v>
      </c>
      <c r="B89" s="192" t="s">
        <v>623</v>
      </c>
      <c r="C89" s="197"/>
      <c r="D89" s="196"/>
      <c r="E89" s="173">
        <v>301.3</v>
      </c>
      <c r="F89" s="184"/>
    </row>
    <row r="90" spans="1:6" ht="57.75" customHeight="1">
      <c r="A90" s="177" t="s">
        <v>617</v>
      </c>
      <c r="B90" s="192" t="s">
        <v>622</v>
      </c>
      <c r="C90" s="197"/>
      <c r="D90" s="196"/>
      <c r="E90" s="173">
        <v>35166</v>
      </c>
      <c r="F90" s="184"/>
    </row>
    <row r="91" spans="1:6" ht="55.5" customHeight="1">
      <c r="A91" s="177" t="s">
        <v>617</v>
      </c>
      <c r="B91" s="192" t="s">
        <v>621</v>
      </c>
      <c r="C91" s="197"/>
      <c r="D91" s="196"/>
      <c r="E91" s="173">
        <v>105.7</v>
      </c>
      <c r="F91" s="184"/>
    </row>
    <row r="92" spans="1:6" ht="44.25" customHeight="1">
      <c r="A92" s="177" t="s">
        <v>617</v>
      </c>
      <c r="B92" s="192" t="s">
        <v>620</v>
      </c>
      <c r="C92" s="197"/>
      <c r="D92" s="196"/>
      <c r="E92" s="200">
        <v>22729.5</v>
      </c>
      <c r="F92" s="184"/>
    </row>
    <row r="93" spans="1:6" ht="49.5" customHeight="1">
      <c r="A93" s="177" t="s">
        <v>617</v>
      </c>
      <c r="B93" s="192" t="s">
        <v>619</v>
      </c>
      <c r="C93" s="197"/>
      <c r="D93" s="196"/>
      <c r="E93" s="173">
        <v>342.2</v>
      </c>
      <c r="F93" s="184"/>
    </row>
    <row r="94" spans="1:6" ht="41.25" customHeight="1">
      <c r="A94" s="177" t="s">
        <v>617</v>
      </c>
      <c r="B94" s="192" t="s">
        <v>618</v>
      </c>
      <c r="C94" s="197"/>
      <c r="D94" s="196"/>
      <c r="E94" s="173">
        <v>1211.8</v>
      </c>
      <c r="F94" s="184"/>
    </row>
    <row r="95" spans="1:6" ht="45" customHeight="1">
      <c r="A95" s="177" t="s">
        <v>617</v>
      </c>
      <c r="B95" s="192" t="s">
        <v>616</v>
      </c>
      <c r="C95" s="197"/>
      <c r="D95" s="196"/>
      <c r="E95" s="173">
        <v>817.1</v>
      </c>
      <c r="F95" s="184"/>
    </row>
    <row r="96" spans="1:6" ht="28.5" customHeight="1">
      <c r="A96" s="183" t="s">
        <v>615</v>
      </c>
      <c r="B96" s="195" t="s">
        <v>614</v>
      </c>
      <c r="C96" s="194"/>
      <c r="D96" s="193"/>
      <c r="E96" s="179">
        <f>E97+E98+E99+E100+E101+E102</f>
        <v>129772.8</v>
      </c>
      <c r="F96" s="178"/>
    </row>
    <row r="97" spans="1:6" ht="28.5" customHeight="1">
      <c r="A97" s="177" t="s">
        <v>613</v>
      </c>
      <c r="B97" s="192" t="s">
        <v>612</v>
      </c>
      <c r="C97" s="202"/>
      <c r="D97" s="201"/>
      <c r="E97" s="200">
        <v>7199.5</v>
      </c>
      <c r="F97" s="184"/>
    </row>
    <row r="98" spans="1:6" ht="57" customHeight="1">
      <c r="A98" s="177" t="s">
        <v>611</v>
      </c>
      <c r="B98" s="192" t="s">
        <v>610</v>
      </c>
      <c r="C98" s="197"/>
      <c r="D98" s="196"/>
      <c r="E98" s="173">
        <v>1056</v>
      </c>
      <c r="F98" s="184"/>
    </row>
    <row r="99" spans="1:6" ht="57.75" customHeight="1">
      <c r="A99" s="177" t="s">
        <v>609</v>
      </c>
      <c r="B99" s="192" t="s">
        <v>608</v>
      </c>
      <c r="C99" s="199"/>
      <c r="D99" s="198"/>
      <c r="E99" s="173">
        <v>13665.4</v>
      </c>
      <c r="F99" s="184"/>
    </row>
    <row r="100" spans="1:6" ht="41.25" customHeight="1">
      <c r="A100" s="177" t="s">
        <v>607</v>
      </c>
      <c r="B100" s="192" t="s">
        <v>606</v>
      </c>
      <c r="C100" s="199"/>
      <c r="D100" s="198"/>
      <c r="E100" s="173">
        <v>20205.2</v>
      </c>
      <c r="F100" s="184"/>
    </row>
    <row r="101" spans="1:6" ht="58.5" customHeight="1">
      <c r="A101" s="177" t="s">
        <v>605</v>
      </c>
      <c r="B101" s="192" t="s">
        <v>604</v>
      </c>
      <c r="C101" s="197"/>
      <c r="D101" s="196"/>
      <c r="E101" s="173">
        <v>1494.9</v>
      </c>
      <c r="F101" s="184"/>
    </row>
    <row r="102" spans="1:6" ht="21.75" customHeight="1">
      <c r="A102" s="177" t="s">
        <v>594</v>
      </c>
      <c r="B102" s="195" t="s">
        <v>603</v>
      </c>
      <c r="C102" s="194"/>
      <c r="D102" s="193"/>
      <c r="E102" s="179">
        <f>E103+E104+E105+E106+E107+E108+E109+E110+E111</f>
        <v>86151.8</v>
      </c>
      <c r="F102" s="178"/>
    </row>
    <row r="103" spans="1:6" ht="28.5" customHeight="1">
      <c r="A103" s="177" t="s">
        <v>594</v>
      </c>
      <c r="B103" s="192" t="s">
        <v>602</v>
      </c>
      <c r="C103" s="191"/>
      <c r="D103" s="190"/>
      <c r="E103" s="173">
        <v>506.8</v>
      </c>
      <c r="F103" s="184"/>
    </row>
    <row r="104" spans="1:6" ht="40.5" customHeight="1">
      <c r="A104" s="177" t="s">
        <v>594</v>
      </c>
      <c r="B104" s="176" t="s">
        <v>601</v>
      </c>
      <c r="C104" s="189"/>
      <c r="D104" s="188"/>
      <c r="E104" s="173">
        <v>417.5</v>
      </c>
      <c r="F104" s="184"/>
    </row>
    <row r="105" spans="1:6" ht="41.25" customHeight="1">
      <c r="A105" s="177" t="s">
        <v>594</v>
      </c>
      <c r="B105" s="176" t="s">
        <v>600</v>
      </c>
      <c r="C105" s="189"/>
      <c r="D105" s="188"/>
      <c r="E105" s="173">
        <v>1487.5</v>
      </c>
      <c r="F105" s="184"/>
    </row>
    <row r="106" spans="1:6" ht="42" customHeight="1">
      <c r="A106" s="177" t="s">
        <v>594</v>
      </c>
      <c r="B106" s="176" t="s">
        <v>599</v>
      </c>
      <c r="C106" s="189"/>
      <c r="D106" s="188"/>
      <c r="E106" s="173">
        <v>2013.3</v>
      </c>
      <c r="F106" s="184"/>
    </row>
    <row r="107" spans="1:6" ht="79.5" customHeight="1">
      <c r="A107" s="177" t="s">
        <v>594</v>
      </c>
      <c r="B107" s="187" t="s">
        <v>598</v>
      </c>
      <c r="C107" s="186"/>
      <c r="D107" s="185"/>
      <c r="E107" s="173">
        <v>495.8</v>
      </c>
      <c r="F107" s="184"/>
    </row>
    <row r="108" spans="1:6" ht="31.5" customHeight="1">
      <c r="A108" s="177" t="s">
        <v>594</v>
      </c>
      <c r="B108" s="176" t="s">
        <v>597</v>
      </c>
      <c r="C108" s="186"/>
      <c r="D108" s="185"/>
      <c r="E108" s="173">
        <v>474.8</v>
      </c>
      <c r="F108" s="184"/>
    </row>
    <row r="109" spans="1:6" ht="42" customHeight="1">
      <c r="A109" s="177" t="s">
        <v>594</v>
      </c>
      <c r="B109" s="176" t="s">
        <v>596</v>
      </c>
      <c r="C109" s="186"/>
      <c r="D109" s="185"/>
      <c r="E109" s="173">
        <v>34.6</v>
      </c>
      <c r="F109" s="184"/>
    </row>
    <row r="110" spans="1:6" ht="42" customHeight="1">
      <c r="A110" s="177" t="s">
        <v>594</v>
      </c>
      <c r="B110" s="176" t="s">
        <v>595</v>
      </c>
      <c r="C110" s="186"/>
      <c r="D110" s="185"/>
      <c r="E110" s="173">
        <v>3781.5</v>
      </c>
      <c r="F110" s="184"/>
    </row>
    <row r="111" spans="1:6" ht="57.75" customHeight="1">
      <c r="A111" s="177" t="s">
        <v>594</v>
      </c>
      <c r="B111" s="176" t="s">
        <v>593</v>
      </c>
      <c r="C111" s="186"/>
      <c r="D111" s="185"/>
      <c r="E111" s="173">
        <v>76940</v>
      </c>
      <c r="F111" s="184"/>
    </row>
    <row r="112" spans="1:6" ht="22.5" customHeight="1">
      <c r="A112" s="183" t="s">
        <v>592</v>
      </c>
      <c r="B112" s="182" t="s">
        <v>591</v>
      </c>
      <c r="C112" s="181"/>
      <c r="D112" s="180"/>
      <c r="E112" s="179">
        <f>E113+E114</f>
        <v>236468.6</v>
      </c>
      <c r="F112" s="178"/>
    </row>
    <row r="113" spans="1:6" ht="42" customHeight="1">
      <c r="A113" s="177" t="s">
        <v>590</v>
      </c>
      <c r="B113" s="176" t="s">
        <v>589</v>
      </c>
      <c r="C113" s="186"/>
      <c r="D113" s="185"/>
      <c r="E113" s="173">
        <v>162.4</v>
      </c>
      <c r="F113" s="184"/>
    </row>
    <row r="114" spans="1:6" ht="29.25" customHeight="1">
      <c r="A114" s="183" t="s">
        <v>586</v>
      </c>
      <c r="B114" s="182" t="s">
        <v>588</v>
      </c>
      <c r="C114" s="181"/>
      <c r="D114" s="180"/>
      <c r="E114" s="179">
        <f>E116+E115</f>
        <v>236306.2</v>
      </c>
      <c r="F114" s="178"/>
    </row>
    <row r="115" spans="1:6" ht="61.5" customHeight="1">
      <c r="A115" s="177" t="s">
        <v>586</v>
      </c>
      <c r="B115" s="176" t="s">
        <v>587</v>
      </c>
      <c r="C115" s="186"/>
      <c r="D115" s="185"/>
      <c r="E115" s="173">
        <v>235863.1</v>
      </c>
      <c r="F115" s="184"/>
    </row>
    <row r="116" spans="1:6" ht="54.75" customHeight="1">
      <c r="A116" s="177" t="s">
        <v>586</v>
      </c>
      <c r="B116" s="176" t="s">
        <v>585</v>
      </c>
      <c r="C116" s="186"/>
      <c r="D116" s="185"/>
      <c r="E116" s="173">
        <v>443.1</v>
      </c>
      <c r="F116" s="184"/>
    </row>
    <row r="117" spans="1:6" ht="37.5" customHeight="1">
      <c r="A117" s="183" t="s">
        <v>584</v>
      </c>
      <c r="B117" s="182" t="s">
        <v>583</v>
      </c>
      <c r="C117" s="181"/>
      <c r="D117" s="180"/>
      <c r="E117" s="179">
        <f>E118</f>
        <v>-16889.1</v>
      </c>
      <c r="F117" s="178"/>
    </row>
    <row r="118" spans="1:6" ht="61.5" customHeight="1">
      <c r="A118" s="177" t="s">
        <v>582</v>
      </c>
      <c r="B118" s="176" t="s">
        <v>581</v>
      </c>
      <c r="C118" s="175"/>
      <c r="D118" s="174"/>
      <c r="E118" s="173">
        <v>-16889.1</v>
      </c>
      <c r="F118" s="172"/>
    </row>
    <row r="119" spans="1:6" ht="12.75" customHeight="1">
      <c r="A119" s="171" t="s">
        <v>580</v>
      </c>
      <c r="B119" s="170"/>
      <c r="C119" s="170"/>
      <c r="D119" s="169"/>
      <c r="E119" s="168">
        <f>E72+E71</f>
        <v>2517244.5</v>
      </c>
      <c r="F119" s="167"/>
    </row>
    <row r="121" ht="12.75">
      <c r="E121" s="166"/>
    </row>
  </sheetData>
  <sheetProtection/>
  <mergeCells count="114">
    <mergeCell ref="B60:D60"/>
    <mergeCell ref="B47:D47"/>
    <mergeCell ref="B48:D48"/>
    <mergeCell ref="B49:D49"/>
    <mergeCell ref="B68:D68"/>
    <mergeCell ref="B59:D59"/>
    <mergeCell ref="B65:D65"/>
    <mergeCell ref="B63:D63"/>
    <mergeCell ref="B66:D66"/>
    <mergeCell ref="B51:D51"/>
    <mergeCell ref="B40:D40"/>
    <mergeCell ref="B19:D19"/>
    <mergeCell ref="B20:D20"/>
    <mergeCell ref="B39:D39"/>
    <mergeCell ref="B23:D23"/>
    <mergeCell ref="B21:D21"/>
    <mergeCell ref="B22:D22"/>
    <mergeCell ref="B29:D29"/>
    <mergeCell ref="B26:D26"/>
    <mergeCell ref="B36:D36"/>
    <mergeCell ref="B33:D33"/>
    <mergeCell ref="B16:D16"/>
    <mergeCell ref="B17:D17"/>
    <mergeCell ref="B37:D37"/>
    <mergeCell ref="B35:D35"/>
    <mergeCell ref="B30:D30"/>
    <mergeCell ref="B31:D31"/>
    <mergeCell ref="B25:D25"/>
    <mergeCell ref="B18:D18"/>
    <mergeCell ref="B28:D28"/>
    <mergeCell ref="B15:D15"/>
    <mergeCell ref="B34:D34"/>
    <mergeCell ref="B32:D32"/>
    <mergeCell ref="B27:D27"/>
    <mergeCell ref="B24:D24"/>
    <mergeCell ref="D5:E5"/>
    <mergeCell ref="D6:E6"/>
    <mergeCell ref="D7:E7"/>
    <mergeCell ref="A9:E9"/>
    <mergeCell ref="A10:D10"/>
    <mergeCell ref="B12:D12"/>
    <mergeCell ref="B13:D13"/>
    <mergeCell ref="B14:D14"/>
    <mergeCell ref="A11:E11"/>
    <mergeCell ref="B45:D45"/>
    <mergeCell ref="B46:D46"/>
    <mergeCell ref="B43:D43"/>
    <mergeCell ref="B44:D44"/>
    <mergeCell ref="B41:D41"/>
    <mergeCell ref="B42:D42"/>
    <mergeCell ref="B38:D38"/>
    <mergeCell ref="B50:D50"/>
    <mergeCell ref="B54:D54"/>
    <mergeCell ref="B69:D69"/>
    <mergeCell ref="B55:D55"/>
    <mergeCell ref="B56:D56"/>
    <mergeCell ref="B57:D57"/>
    <mergeCell ref="B58:D58"/>
    <mergeCell ref="B62:D62"/>
    <mergeCell ref="B64:D64"/>
    <mergeCell ref="B52:D52"/>
    <mergeCell ref="B53:D53"/>
    <mergeCell ref="B80:D80"/>
    <mergeCell ref="B81:D81"/>
    <mergeCell ref="B67:D67"/>
    <mergeCell ref="B70:D70"/>
    <mergeCell ref="B61:D61"/>
    <mergeCell ref="B72:D72"/>
    <mergeCell ref="B73:D73"/>
    <mergeCell ref="B79:D79"/>
    <mergeCell ref="B74:D74"/>
    <mergeCell ref="B86:D86"/>
    <mergeCell ref="B91:D91"/>
    <mergeCell ref="B83:D83"/>
    <mergeCell ref="B88:D88"/>
    <mergeCell ref="B82:D82"/>
    <mergeCell ref="B77:D77"/>
    <mergeCell ref="B95:D95"/>
    <mergeCell ref="B92:D92"/>
    <mergeCell ref="B76:D76"/>
    <mergeCell ref="B97:D97"/>
    <mergeCell ref="B84:D84"/>
    <mergeCell ref="B96:D96"/>
    <mergeCell ref="B85:D85"/>
    <mergeCell ref="B100:D100"/>
    <mergeCell ref="B107:D107"/>
    <mergeCell ref="B90:D90"/>
    <mergeCell ref="B102:D102"/>
    <mergeCell ref="B94:D94"/>
    <mergeCell ref="B71:D71"/>
    <mergeCell ref="B75:D75"/>
    <mergeCell ref="B78:D78"/>
    <mergeCell ref="B93:D93"/>
    <mergeCell ref="B99:D99"/>
    <mergeCell ref="B118:D118"/>
    <mergeCell ref="B113:D113"/>
    <mergeCell ref="B108:D108"/>
    <mergeCell ref="B116:D116"/>
    <mergeCell ref="B112:D112"/>
    <mergeCell ref="B87:D87"/>
    <mergeCell ref="B89:D89"/>
    <mergeCell ref="B110:D110"/>
    <mergeCell ref="B111:D111"/>
    <mergeCell ref="B106:D106"/>
    <mergeCell ref="B98:D98"/>
    <mergeCell ref="A119:D119"/>
    <mergeCell ref="B114:D114"/>
    <mergeCell ref="B103:D103"/>
    <mergeCell ref="B104:D104"/>
    <mergeCell ref="B105:D105"/>
    <mergeCell ref="B109:D109"/>
    <mergeCell ref="B115:D115"/>
    <mergeCell ref="B117:D117"/>
    <mergeCell ref="B101:D101"/>
  </mergeCells>
  <printOptions horizontalCentered="1"/>
  <pageMargins left="0.3937007874015748" right="0" top="0.1968503937007874" bottom="0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125" style="1" customWidth="1"/>
    <col min="2" max="2" width="77.25390625" style="1" customWidth="1"/>
    <col min="3" max="3" width="27.125" style="1" customWidth="1"/>
    <col min="4" max="16384" width="9.125" style="1" customWidth="1"/>
  </cols>
  <sheetData>
    <row r="1" spans="2:4" ht="16.5">
      <c r="B1" s="16"/>
      <c r="C1" s="29" t="s">
        <v>149</v>
      </c>
      <c r="D1" s="4"/>
    </row>
    <row r="2" spans="3:4" ht="47.25" customHeight="1">
      <c r="C2" s="15" t="s">
        <v>155</v>
      </c>
      <c r="D2" s="15"/>
    </row>
    <row r="3" spans="3:4" ht="21" customHeight="1">
      <c r="C3" s="155" t="s">
        <v>578</v>
      </c>
      <c r="D3" s="15"/>
    </row>
    <row r="4" spans="3:4" ht="19.5" customHeight="1">
      <c r="C4" s="4"/>
      <c r="D4" s="4"/>
    </row>
    <row r="5" spans="1:12" ht="32.25" customHeight="1">
      <c r="A5" s="156" t="s">
        <v>525</v>
      </c>
      <c r="B5" s="156"/>
      <c r="C5" s="156"/>
      <c r="D5" s="17"/>
      <c r="E5" s="17"/>
      <c r="F5" s="17"/>
      <c r="G5" s="17"/>
      <c r="H5" s="17"/>
      <c r="I5" s="17"/>
      <c r="J5" s="17"/>
      <c r="K5" s="17"/>
      <c r="L5" s="17"/>
    </row>
    <row r="6" spans="1:2" ht="0.75" customHeight="1" hidden="1">
      <c r="A6" s="5"/>
      <c r="B6" s="5"/>
    </row>
    <row r="7" spans="1:3" ht="22.5" customHeight="1">
      <c r="A7" s="6"/>
      <c r="B7" s="6"/>
      <c r="C7" s="7" t="s">
        <v>84</v>
      </c>
    </row>
    <row r="8" spans="1:3" ht="60" customHeight="1">
      <c r="A8" s="13" t="s">
        <v>198</v>
      </c>
      <c r="B8" s="13" t="s">
        <v>85</v>
      </c>
      <c r="C8" s="21" t="s">
        <v>374</v>
      </c>
    </row>
    <row r="9" spans="1:3" ht="15">
      <c r="A9" s="60">
        <v>1</v>
      </c>
      <c r="B9" s="8">
        <v>2</v>
      </c>
      <c r="C9" s="9">
        <v>3</v>
      </c>
    </row>
    <row r="10" spans="1:3" ht="18" customHeight="1">
      <c r="A10" s="37" t="s">
        <v>37</v>
      </c>
      <c r="B10" s="30" t="s">
        <v>86</v>
      </c>
      <c r="C10" s="61">
        <f>SUM(C11:C17)</f>
        <v>123236.5</v>
      </c>
    </row>
    <row r="11" spans="1:3" ht="32.25" customHeight="1">
      <c r="A11" s="38" t="s">
        <v>41</v>
      </c>
      <c r="B11" s="22" t="s">
        <v>190</v>
      </c>
      <c r="C11" s="62">
        <f>прил4!G27</f>
        <v>1276</v>
      </c>
    </row>
    <row r="12" spans="1:3" ht="47.25" customHeight="1">
      <c r="A12" s="38" t="s">
        <v>38</v>
      </c>
      <c r="B12" s="23" t="s">
        <v>114</v>
      </c>
      <c r="C12" s="62">
        <f>прил4!G14</f>
        <v>4816</v>
      </c>
    </row>
    <row r="13" spans="1:3" ht="47.25" customHeight="1">
      <c r="A13" s="38" t="s">
        <v>40</v>
      </c>
      <c r="B13" s="23" t="s">
        <v>115</v>
      </c>
      <c r="C13" s="62">
        <f>прил4!G31</f>
        <v>50003.6</v>
      </c>
    </row>
    <row r="14" spans="1:3" ht="30.75" customHeight="1">
      <c r="A14" s="38" t="s">
        <v>21</v>
      </c>
      <c r="B14" s="24" t="s">
        <v>116</v>
      </c>
      <c r="C14" s="62">
        <f>прил4!G184+прил4!G232</f>
        <v>15545</v>
      </c>
    </row>
    <row r="15" spans="1:3" ht="16.5" customHeight="1">
      <c r="A15" s="38" t="s">
        <v>42</v>
      </c>
      <c r="B15" s="81" t="s">
        <v>251</v>
      </c>
      <c r="C15" s="62">
        <f>прил4!G45</f>
        <v>3000</v>
      </c>
    </row>
    <row r="16" spans="1:3" ht="15.75" customHeight="1">
      <c r="A16" s="39" t="s">
        <v>140</v>
      </c>
      <c r="B16" s="32" t="s">
        <v>82</v>
      </c>
      <c r="C16" s="62">
        <f>прил4!G49</f>
        <v>1222</v>
      </c>
    </row>
    <row r="17" spans="1:3" ht="15.75">
      <c r="A17" s="39" t="s">
        <v>211</v>
      </c>
      <c r="B17" s="59" t="s">
        <v>46</v>
      </c>
      <c r="C17" s="62">
        <f>прил4!G53+прил4!G202+прил4!G360+прил4!G193</f>
        <v>47373.9</v>
      </c>
    </row>
    <row r="18" spans="1:3" ht="30.75" customHeight="1">
      <c r="A18" s="40" t="s">
        <v>50</v>
      </c>
      <c r="B18" s="80" t="s">
        <v>87</v>
      </c>
      <c r="C18" s="61">
        <f>C19</f>
        <v>12609.6</v>
      </c>
    </row>
    <row r="19" spans="1:3" ht="30.75" customHeight="1">
      <c r="A19" s="38" t="s">
        <v>51</v>
      </c>
      <c r="B19" s="25" t="s">
        <v>141</v>
      </c>
      <c r="C19" s="63">
        <f>прил4!G426+прил4!G84</f>
        <v>12609.6</v>
      </c>
    </row>
    <row r="20" spans="1:3" ht="15" customHeight="1">
      <c r="A20" s="41" t="s">
        <v>47</v>
      </c>
      <c r="B20" s="35" t="s">
        <v>88</v>
      </c>
      <c r="C20" s="61">
        <f>SUM(C21:C25)</f>
        <v>181837.3</v>
      </c>
    </row>
    <row r="21" spans="1:3" ht="15" customHeight="1">
      <c r="A21" s="42" t="s">
        <v>391</v>
      </c>
      <c r="B21" s="31" t="s">
        <v>390</v>
      </c>
      <c r="C21" s="62">
        <f>прил4!G88</f>
        <v>1100.1</v>
      </c>
    </row>
    <row r="22" spans="1:3" ht="15" customHeight="1">
      <c r="A22" s="42" t="s">
        <v>136</v>
      </c>
      <c r="B22" s="31" t="s">
        <v>137</v>
      </c>
      <c r="C22" s="62">
        <f>прил4!G441</f>
        <v>100</v>
      </c>
    </row>
    <row r="23" spans="1:3" ht="15" customHeight="1">
      <c r="A23" s="42" t="s">
        <v>323</v>
      </c>
      <c r="B23" s="32" t="s">
        <v>322</v>
      </c>
      <c r="C23" s="62">
        <f>прил4!G245</f>
        <v>28893.3</v>
      </c>
    </row>
    <row r="24" spans="1:3" ht="15.75">
      <c r="A24" s="42" t="s">
        <v>142</v>
      </c>
      <c r="B24" s="36" t="s">
        <v>223</v>
      </c>
      <c r="C24" s="64">
        <f>прил4!G99+прил4!G251</f>
        <v>119564.1</v>
      </c>
    </row>
    <row r="25" spans="1:3" ht="15.75">
      <c r="A25" s="42" t="s">
        <v>143</v>
      </c>
      <c r="B25" s="24" t="s">
        <v>48</v>
      </c>
      <c r="C25" s="64">
        <f>прил4!G107+прил4!G644</f>
        <v>32179.8</v>
      </c>
    </row>
    <row r="26" spans="1:3" ht="15.75">
      <c r="A26" s="37" t="s">
        <v>78</v>
      </c>
      <c r="B26" s="33" t="s">
        <v>89</v>
      </c>
      <c r="C26" s="82">
        <f>SUM(C27:C30)</f>
        <v>1295588.2</v>
      </c>
    </row>
    <row r="27" spans="1:3" ht="15.75">
      <c r="A27" s="39" t="s">
        <v>98</v>
      </c>
      <c r="B27" s="32" t="s">
        <v>97</v>
      </c>
      <c r="C27" s="63">
        <f>прил4!G266+прил4!G135</f>
        <v>736532</v>
      </c>
    </row>
    <row r="28" spans="1:3" ht="15.75">
      <c r="A28" s="39" t="s">
        <v>290</v>
      </c>
      <c r="B28" s="78" t="s">
        <v>289</v>
      </c>
      <c r="C28" s="63">
        <f>прил4!G285</f>
        <v>469125.4</v>
      </c>
    </row>
    <row r="29" spans="1:3" ht="15" customHeight="1">
      <c r="A29" s="39" t="s">
        <v>135</v>
      </c>
      <c r="B29" s="34" t="s">
        <v>103</v>
      </c>
      <c r="C29" s="63">
        <f>прил4!G295+прил4!G370</f>
        <v>59445.4</v>
      </c>
    </row>
    <row r="30" spans="1:3" ht="15" customHeight="1">
      <c r="A30" s="39" t="s">
        <v>138</v>
      </c>
      <c r="B30" s="59" t="s">
        <v>106</v>
      </c>
      <c r="C30" s="63">
        <f>прил4!G314</f>
        <v>30485.4</v>
      </c>
    </row>
    <row r="31" spans="1:3" ht="20.25" customHeight="1">
      <c r="A31" s="37" t="s">
        <v>80</v>
      </c>
      <c r="B31" s="33" t="s">
        <v>90</v>
      </c>
      <c r="C31" s="82">
        <f>C32</f>
        <v>150</v>
      </c>
    </row>
    <row r="32" spans="1:3" ht="14.25" customHeight="1">
      <c r="A32" s="43" t="s">
        <v>139</v>
      </c>
      <c r="B32" s="79" t="s">
        <v>145</v>
      </c>
      <c r="C32" s="83">
        <f>прил4!G339</f>
        <v>150</v>
      </c>
    </row>
    <row r="33" spans="1:3" ht="15.75">
      <c r="A33" s="44" t="s">
        <v>52</v>
      </c>
      <c r="B33" s="26" t="s">
        <v>91</v>
      </c>
      <c r="C33" s="66">
        <f>SUM(C34:C37)</f>
        <v>774692</v>
      </c>
    </row>
    <row r="34" spans="1:3" ht="15.75">
      <c r="A34" s="38" t="s">
        <v>53</v>
      </c>
      <c r="B34" s="27" t="s">
        <v>31</v>
      </c>
      <c r="C34" s="67">
        <f>прил4!G451</f>
        <v>304421.9</v>
      </c>
    </row>
    <row r="35" spans="1:3" ht="15.75">
      <c r="A35" s="38" t="s">
        <v>55</v>
      </c>
      <c r="B35" s="27" t="s">
        <v>33</v>
      </c>
      <c r="C35" s="67">
        <f>прил4!G377+прил4!G467+прил4!G648</f>
        <v>381966.2</v>
      </c>
    </row>
    <row r="36" spans="1:3" ht="15.75" customHeight="1">
      <c r="A36" s="38" t="s">
        <v>60</v>
      </c>
      <c r="B36" s="27" t="s">
        <v>92</v>
      </c>
      <c r="C36" s="67">
        <f>прил4!G507</f>
        <v>11540</v>
      </c>
    </row>
    <row r="37" spans="1:3" ht="20.25" customHeight="1">
      <c r="A37" s="45" t="s">
        <v>62</v>
      </c>
      <c r="B37" s="28" t="s">
        <v>61</v>
      </c>
      <c r="C37" s="68">
        <f>прил4!G145+прил4!G519</f>
        <v>76763.9</v>
      </c>
    </row>
    <row r="38" spans="1:3" ht="21.75" customHeight="1">
      <c r="A38" s="49" t="s">
        <v>26</v>
      </c>
      <c r="B38" s="30" t="s">
        <v>220</v>
      </c>
      <c r="C38" s="61">
        <f>SUM(C39:C40)</f>
        <v>89170.4</v>
      </c>
    </row>
    <row r="39" spans="1:3" ht="15" customHeight="1">
      <c r="A39" s="50" t="s">
        <v>65</v>
      </c>
      <c r="B39" s="31" t="s">
        <v>93</v>
      </c>
      <c r="C39" s="62">
        <f>+прил4!G655+прил4!G158</f>
        <v>79214.8</v>
      </c>
    </row>
    <row r="40" spans="1:3" ht="24" customHeight="1">
      <c r="A40" s="53" t="s">
        <v>39</v>
      </c>
      <c r="B40" s="32" t="s">
        <v>213</v>
      </c>
      <c r="C40" s="65">
        <f>прил4!G684</f>
        <v>9955.6</v>
      </c>
    </row>
    <row r="41" spans="1:3" ht="13.5" customHeight="1">
      <c r="A41" s="46" t="s">
        <v>45</v>
      </c>
      <c r="B41" s="30" t="s">
        <v>221</v>
      </c>
      <c r="C41" s="69">
        <f>SUM(C42:C42)</f>
        <v>495.8</v>
      </c>
    </row>
    <row r="42" spans="1:3" ht="16.5" customHeight="1">
      <c r="A42" s="130" t="s">
        <v>208</v>
      </c>
      <c r="B42" s="59" t="s">
        <v>207</v>
      </c>
      <c r="C42" s="65">
        <f>прил4!G606</f>
        <v>495.8</v>
      </c>
    </row>
    <row r="43" spans="1:3" ht="15" customHeight="1">
      <c r="A43" s="49" t="s">
        <v>71</v>
      </c>
      <c r="B43" s="30" t="s">
        <v>94</v>
      </c>
      <c r="C43" s="131">
        <f>SUM(C44:C47)</f>
        <v>89032.4</v>
      </c>
    </row>
    <row r="44" spans="1:3" ht="15.75">
      <c r="A44" s="50" t="s">
        <v>73</v>
      </c>
      <c r="B44" s="31" t="s">
        <v>72</v>
      </c>
      <c r="C44" s="67">
        <f>прил4!G162</f>
        <v>1432</v>
      </c>
    </row>
    <row r="45" spans="1:3" ht="13.5" customHeight="1">
      <c r="A45" s="50" t="s">
        <v>75</v>
      </c>
      <c r="B45" s="31" t="s">
        <v>74</v>
      </c>
      <c r="C45" s="67">
        <f>прил4!G343+прил4!G613+прил4!G217+прил4!G166+прил4!G444</f>
        <v>41575.8</v>
      </c>
    </row>
    <row r="46" spans="1:3" ht="15" customHeight="1">
      <c r="A46" s="54" t="s">
        <v>77</v>
      </c>
      <c r="B46" s="59" t="s">
        <v>118</v>
      </c>
      <c r="C46" s="68">
        <f>прил4!G617+прил4!G224</f>
        <v>40237.6</v>
      </c>
    </row>
    <row r="47" spans="1:3" ht="15.75" customHeight="1">
      <c r="A47" s="150" t="s">
        <v>76</v>
      </c>
      <c r="B47" s="151" t="s">
        <v>200</v>
      </c>
      <c r="C47" s="152">
        <f>прил4!G353</f>
        <v>5787</v>
      </c>
    </row>
    <row r="48" spans="1:3" ht="15.75" customHeight="1">
      <c r="A48" s="49" t="s">
        <v>202</v>
      </c>
      <c r="B48" s="51" t="s">
        <v>214</v>
      </c>
      <c r="C48" s="72">
        <f>SUM(C49:C51)</f>
        <v>99834.1</v>
      </c>
    </row>
    <row r="49" spans="1:3" ht="15.75" customHeight="1">
      <c r="A49" s="50" t="s">
        <v>212</v>
      </c>
      <c r="B49" s="48" t="s">
        <v>216</v>
      </c>
      <c r="C49" s="71">
        <f>прил4!G172+прил4!G384+прил4!G629+прил4!G701</f>
        <v>34383.3</v>
      </c>
    </row>
    <row r="50" spans="1:3" ht="15.75" customHeight="1">
      <c r="A50" s="50" t="s">
        <v>335</v>
      </c>
      <c r="B50" s="48" t="s">
        <v>336</v>
      </c>
      <c r="C50" s="71">
        <f>прил4!G400</f>
        <v>60938.6</v>
      </c>
    </row>
    <row r="51" spans="1:3" ht="15.75" customHeight="1">
      <c r="A51" s="54" t="s">
        <v>201</v>
      </c>
      <c r="B51" s="59" t="s">
        <v>215</v>
      </c>
      <c r="C51" s="73">
        <f>прил4!G409</f>
        <v>4512.2</v>
      </c>
    </row>
    <row r="52" spans="1:3" ht="15.75" customHeight="1">
      <c r="A52" s="55" t="s">
        <v>205</v>
      </c>
      <c r="B52" s="57" t="s">
        <v>217</v>
      </c>
      <c r="C52" s="74">
        <f>C53</f>
        <v>552</v>
      </c>
    </row>
    <row r="53" spans="1:3" ht="15.75" customHeight="1">
      <c r="A53" s="50" t="s">
        <v>206</v>
      </c>
      <c r="B53" s="47" t="s">
        <v>218</v>
      </c>
      <c r="C53" s="71">
        <f>прил4!G178</f>
        <v>552</v>
      </c>
    </row>
    <row r="54" spans="1:3" ht="39.75" customHeight="1">
      <c r="A54" s="49" t="s">
        <v>209</v>
      </c>
      <c r="B54" s="58" t="s">
        <v>219</v>
      </c>
      <c r="C54" s="72">
        <f>C55</f>
        <v>13135.7</v>
      </c>
    </row>
    <row r="55" spans="1:3" ht="15.75" customHeight="1">
      <c r="A55" s="50" t="s">
        <v>210</v>
      </c>
      <c r="B55" s="56" t="s">
        <v>239</v>
      </c>
      <c r="C55" s="71">
        <f>прил4!G196</f>
        <v>13135.7</v>
      </c>
    </row>
    <row r="56" spans="1:4" ht="20.25" customHeight="1">
      <c r="A56" s="157" t="s">
        <v>95</v>
      </c>
      <c r="B56" s="158"/>
      <c r="C56" s="70">
        <f>C10+C18+C20+C26+C31+C33+C38+C41+C43+C48+C52+C54</f>
        <v>2680334</v>
      </c>
      <c r="D56" s="142"/>
    </row>
    <row r="57" spans="1:3" ht="18.75" customHeight="1">
      <c r="A57" s="11"/>
      <c r="B57" s="10"/>
      <c r="C57" s="76"/>
    </row>
    <row r="58" ht="12.75">
      <c r="C58" s="52"/>
    </row>
    <row r="61" ht="12.75">
      <c r="C61" s="18"/>
    </row>
  </sheetData>
  <sheetProtection/>
  <mergeCells count="2">
    <mergeCell ref="A5:C5"/>
    <mergeCell ref="A56:B56"/>
  </mergeCells>
  <printOptions horizontalCentered="1"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24.25390625" style="0" customWidth="1"/>
    <col min="2" max="2" width="57.25390625" style="0" customWidth="1"/>
    <col min="3" max="3" width="15.375" style="0" customWidth="1"/>
    <col min="4" max="4" width="12.625" style="0" customWidth="1"/>
  </cols>
  <sheetData>
    <row r="1" spans="1:3" ht="18" customHeight="1">
      <c r="A1" s="364"/>
      <c r="B1" s="363" t="s">
        <v>888</v>
      </c>
      <c r="C1" s="363"/>
    </row>
    <row r="2" spans="1:3" ht="18.75" customHeight="1">
      <c r="A2" s="1"/>
      <c r="B2" s="362" t="s">
        <v>887</v>
      </c>
      <c r="C2" s="362"/>
    </row>
    <row r="3" spans="1:3" ht="15" customHeight="1">
      <c r="A3" s="1"/>
      <c r="B3" s="362" t="s">
        <v>771</v>
      </c>
      <c r="C3" s="362"/>
    </row>
    <row r="4" spans="2:3" ht="15" customHeight="1">
      <c r="B4" s="362" t="s">
        <v>886</v>
      </c>
      <c r="C4" s="362"/>
    </row>
    <row r="5" spans="2:3" ht="15" customHeight="1">
      <c r="B5" s="359"/>
      <c r="C5" s="359"/>
    </row>
    <row r="6" spans="1:3" ht="15.75" customHeight="1">
      <c r="A6" s="361" t="s">
        <v>885</v>
      </c>
      <c r="B6" s="361"/>
      <c r="C6" s="361"/>
    </row>
    <row r="7" spans="1:3" ht="15.75">
      <c r="A7" s="361" t="s">
        <v>884</v>
      </c>
      <c r="B7" s="361"/>
      <c r="C7" s="361"/>
    </row>
    <row r="8" spans="2:3" ht="15">
      <c r="B8" s="360"/>
      <c r="C8" s="359" t="s">
        <v>883</v>
      </c>
    </row>
    <row r="9" spans="1:3" ht="48" customHeight="1">
      <c r="A9" s="358"/>
      <c r="B9" s="357" t="s">
        <v>15</v>
      </c>
      <c r="C9" s="356" t="s">
        <v>767</v>
      </c>
    </row>
    <row r="10" spans="1:3" ht="29.25" customHeight="1">
      <c r="A10" s="351" t="s">
        <v>882</v>
      </c>
      <c r="B10" s="350" t="s">
        <v>881</v>
      </c>
      <c r="C10" s="353">
        <f>C11+C13</f>
        <v>81176.8</v>
      </c>
    </row>
    <row r="11" spans="1:3" ht="18.75" customHeight="1">
      <c r="A11" s="348" t="s">
        <v>880</v>
      </c>
      <c r="B11" s="349" t="s">
        <v>879</v>
      </c>
      <c r="C11" s="346">
        <f>C12</f>
        <v>196176.8</v>
      </c>
    </row>
    <row r="12" spans="1:3" ht="31.5" customHeight="1">
      <c r="A12" s="348" t="s">
        <v>878</v>
      </c>
      <c r="B12" s="355" t="s">
        <v>877</v>
      </c>
      <c r="C12" s="346">
        <v>196176.8</v>
      </c>
    </row>
    <row r="13" spans="1:3" ht="34.5" customHeight="1">
      <c r="A13" s="348" t="s">
        <v>876</v>
      </c>
      <c r="B13" s="349" t="s">
        <v>875</v>
      </c>
      <c r="C13" s="346">
        <f>C14</f>
        <v>-115000</v>
      </c>
    </row>
    <row r="14" spans="1:3" ht="48.75" customHeight="1">
      <c r="A14" s="348" t="s">
        <v>874</v>
      </c>
      <c r="B14" s="355" t="s">
        <v>873</v>
      </c>
      <c r="C14" s="346">
        <v>-115000</v>
      </c>
    </row>
    <row r="15" spans="1:3" ht="33.75" customHeight="1">
      <c r="A15" s="351" t="s">
        <v>872</v>
      </c>
      <c r="B15" s="350" t="s">
        <v>871</v>
      </c>
      <c r="C15" s="343">
        <f>C16+C18</f>
        <v>-10000</v>
      </c>
    </row>
    <row r="16" spans="1:3" ht="47.25" customHeight="1">
      <c r="A16" s="348" t="s">
        <v>870</v>
      </c>
      <c r="B16" s="349" t="s">
        <v>869</v>
      </c>
      <c r="C16" s="354">
        <f>C17</f>
        <v>0</v>
      </c>
    </row>
    <row r="17" spans="1:3" ht="60" customHeight="1">
      <c r="A17" s="348" t="s">
        <v>868</v>
      </c>
      <c r="B17" s="355" t="s">
        <v>867</v>
      </c>
      <c r="C17" s="354">
        <v>0</v>
      </c>
    </row>
    <row r="18" spans="1:3" ht="52.5" customHeight="1">
      <c r="A18" s="348" t="s">
        <v>866</v>
      </c>
      <c r="B18" s="349" t="s">
        <v>865</v>
      </c>
      <c r="C18" s="354">
        <f>C19</f>
        <v>-10000</v>
      </c>
    </row>
    <row r="19" spans="1:3" ht="63.75" customHeight="1">
      <c r="A19" s="348" t="s">
        <v>864</v>
      </c>
      <c r="B19" s="355" t="s">
        <v>863</v>
      </c>
      <c r="C19" s="354">
        <v>-10000</v>
      </c>
    </row>
    <row r="20" spans="1:4" ht="28.5">
      <c r="A20" s="351" t="s">
        <v>862</v>
      </c>
      <c r="B20" s="350" t="s">
        <v>861</v>
      </c>
      <c r="C20" s="353">
        <f>C25-C21</f>
        <v>91912.7</v>
      </c>
      <c r="D20" s="342"/>
    </row>
    <row r="21" spans="1:3" ht="15.75">
      <c r="A21" s="351" t="s">
        <v>853</v>
      </c>
      <c r="B21" s="350" t="s">
        <v>860</v>
      </c>
      <c r="C21" s="343">
        <f>C22</f>
        <v>2713421.3</v>
      </c>
    </row>
    <row r="22" spans="1:3" ht="15.75">
      <c r="A22" s="348" t="s">
        <v>859</v>
      </c>
      <c r="B22" s="349" t="s">
        <v>858</v>
      </c>
      <c r="C22" s="346">
        <f>C23</f>
        <v>2713421.3</v>
      </c>
    </row>
    <row r="23" spans="1:3" ht="15.75">
      <c r="A23" s="348" t="s">
        <v>857</v>
      </c>
      <c r="B23" s="352" t="s">
        <v>856</v>
      </c>
      <c r="C23" s="346">
        <f>C24</f>
        <v>2713421.3</v>
      </c>
    </row>
    <row r="24" spans="1:4" ht="30">
      <c r="A24" s="348" t="s">
        <v>855</v>
      </c>
      <c r="B24" s="347" t="s">
        <v>854</v>
      </c>
      <c r="C24" s="346">
        <v>2713421.3</v>
      </c>
      <c r="D24" s="342"/>
    </row>
    <row r="25" spans="1:4" ht="15.75">
      <c r="A25" s="351" t="s">
        <v>853</v>
      </c>
      <c r="B25" s="350" t="s">
        <v>852</v>
      </c>
      <c r="C25" s="343">
        <f>C26</f>
        <v>2805334</v>
      </c>
      <c r="D25" s="342"/>
    </row>
    <row r="26" spans="1:4" ht="15.75">
      <c r="A26" s="348" t="s">
        <v>851</v>
      </c>
      <c r="B26" s="349" t="s">
        <v>850</v>
      </c>
      <c r="C26" s="346">
        <f>C27</f>
        <v>2805334</v>
      </c>
      <c r="D26" s="342"/>
    </row>
    <row r="27" spans="1:4" ht="15.75">
      <c r="A27" s="348" t="s">
        <v>849</v>
      </c>
      <c r="B27" s="349" t="s">
        <v>848</v>
      </c>
      <c r="C27" s="346">
        <f>C28</f>
        <v>2805334</v>
      </c>
      <c r="D27" s="342"/>
    </row>
    <row r="28" spans="1:4" ht="30">
      <c r="A28" s="348" t="s">
        <v>847</v>
      </c>
      <c r="B28" s="347" t="s">
        <v>846</v>
      </c>
      <c r="C28" s="346">
        <v>2805334</v>
      </c>
      <c r="D28" s="342"/>
    </row>
    <row r="29" spans="1:5" ht="21.75" customHeight="1">
      <c r="A29" s="345" t="s">
        <v>845</v>
      </c>
      <c r="B29" s="344"/>
      <c r="C29" s="343">
        <f>C10+C20+C15</f>
        <v>163089.5</v>
      </c>
      <c r="D29" s="342"/>
      <c r="E29" s="342"/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6"/>
  <sheetViews>
    <sheetView zoomScale="87" zoomScaleNormal="87" zoomScalePageLayoutView="0" workbookViewId="0" topLeftCell="A2">
      <selection activeCell="A23" sqref="A23"/>
    </sheetView>
  </sheetViews>
  <sheetFormatPr defaultColWidth="9.00390625" defaultRowHeight="12.75"/>
  <cols>
    <col min="1" max="1" width="50.00390625" style="4" customWidth="1"/>
    <col min="2" max="2" width="7.00390625" style="4" customWidth="1"/>
    <col min="3" max="3" width="7.25390625" style="4" customWidth="1"/>
    <col min="4" max="4" width="8.875" style="4" customWidth="1"/>
    <col min="5" max="5" width="11.125" style="4" customWidth="1"/>
    <col min="6" max="6" width="9.625" style="12" customWidth="1"/>
    <col min="7" max="7" width="13.875" style="4" customWidth="1"/>
    <col min="8" max="16384" width="9.125" style="4" customWidth="1"/>
  </cols>
  <sheetData>
    <row r="1" spans="4:7" ht="15.75" customHeight="1" hidden="1">
      <c r="D1" s="159"/>
      <c r="E1" s="159"/>
      <c r="F1" s="159"/>
      <c r="G1" s="159"/>
    </row>
    <row r="2" spans="4:7" ht="15">
      <c r="D2" s="163" t="s">
        <v>112</v>
      </c>
      <c r="E2" s="163"/>
      <c r="F2" s="163"/>
      <c r="G2" s="163"/>
    </row>
    <row r="3" spans="4:7" ht="30" customHeight="1">
      <c r="D3" s="162" t="s">
        <v>113</v>
      </c>
      <c r="E3" s="162"/>
      <c r="F3" s="162"/>
      <c r="G3" s="162"/>
    </row>
    <row r="4" spans="4:7" ht="15" customHeight="1">
      <c r="D4" s="162" t="s">
        <v>579</v>
      </c>
      <c r="E4" s="162"/>
      <c r="F4" s="162"/>
      <c r="G4" s="162"/>
    </row>
    <row r="6" spans="1:7" ht="23.25" customHeight="1">
      <c r="A6" s="160" t="s">
        <v>524</v>
      </c>
      <c r="B6" s="160"/>
      <c r="C6" s="160"/>
      <c r="D6" s="160"/>
      <c r="E6" s="160"/>
      <c r="F6" s="160"/>
      <c r="G6" s="160"/>
    </row>
    <row r="7" spans="1:7" ht="15" customHeight="1">
      <c r="A7" s="161"/>
      <c r="B7" s="161"/>
      <c r="C7" s="161"/>
      <c r="D7" s="161"/>
      <c r="E7" s="161"/>
      <c r="F7" s="161"/>
      <c r="G7" s="161"/>
    </row>
    <row r="8" ht="15">
      <c r="G8" s="12" t="s">
        <v>84</v>
      </c>
    </row>
    <row r="9" spans="1:7" ht="49.5" customHeight="1">
      <c r="A9" s="2" t="s">
        <v>15</v>
      </c>
      <c r="B9" s="2" t="s">
        <v>16</v>
      </c>
      <c r="C9" s="2" t="s">
        <v>184</v>
      </c>
      <c r="D9" s="2" t="s">
        <v>17</v>
      </c>
      <c r="E9" s="2" t="s">
        <v>18</v>
      </c>
      <c r="F9" s="84" t="s">
        <v>19</v>
      </c>
      <c r="G9" s="2" t="s">
        <v>367</v>
      </c>
    </row>
    <row r="10" spans="1:7" ht="15" customHeight="1" hidden="1">
      <c r="A10" s="2"/>
      <c r="B10" s="2"/>
      <c r="C10" s="2"/>
      <c r="D10" s="2"/>
      <c r="E10" s="2"/>
      <c r="F10" s="84"/>
      <c r="G10" s="2"/>
    </row>
    <row r="11" spans="1:7" ht="15" customHeight="1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</row>
    <row r="12" spans="1:7" ht="28.5">
      <c r="A12" s="19" t="s">
        <v>102</v>
      </c>
      <c r="B12" s="102" t="s">
        <v>20</v>
      </c>
      <c r="C12" s="103"/>
      <c r="D12" s="103"/>
      <c r="E12" s="103"/>
      <c r="F12" s="104"/>
      <c r="G12" s="105">
        <f>G13</f>
        <v>4816</v>
      </c>
    </row>
    <row r="13" spans="1:7" ht="15">
      <c r="A13" s="75" t="s">
        <v>35</v>
      </c>
      <c r="B13" s="106" t="s">
        <v>20</v>
      </c>
      <c r="C13" s="106" t="s">
        <v>37</v>
      </c>
      <c r="D13" s="106"/>
      <c r="E13" s="106"/>
      <c r="F13" s="107"/>
      <c r="G13" s="108">
        <f>G14</f>
        <v>4816</v>
      </c>
    </row>
    <row r="14" spans="1:7" ht="60">
      <c r="A14" s="77" t="s">
        <v>114</v>
      </c>
      <c r="B14" s="106" t="s">
        <v>20</v>
      </c>
      <c r="C14" s="106" t="s">
        <v>37</v>
      </c>
      <c r="D14" s="106" t="s">
        <v>38</v>
      </c>
      <c r="E14" s="106"/>
      <c r="F14" s="107"/>
      <c r="G14" s="108">
        <f>G15</f>
        <v>4816</v>
      </c>
    </row>
    <row r="15" spans="1:7" ht="34.5" customHeight="1">
      <c r="A15" s="77" t="s">
        <v>252</v>
      </c>
      <c r="B15" s="106" t="s">
        <v>20</v>
      </c>
      <c r="C15" s="106" t="s">
        <v>37</v>
      </c>
      <c r="D15" s="106" t="s">
        <v>38</v>
      </c>
      <c r="E15" s="106" t="s">
        <v>119</v>
      </c>
      <c r="F15" s="107"/>
      <c r="G15" s="108">
        <f>G16+G23</f>
        <v>4816</v>
      </c>
    </row>
    <row r="16" spans="1:7" ht="15">
      <c r="A16" s="77" t="s">
        <v>36</v>
      </c>
      <c r="B16" s="106" t="s">
        <v>20</v>
      </c>
      <c r="C16" s="106" t="s">
        <v>37</v>
      </c>
      <c r="D16" s="106" t="s">
        <v>38</v>
      </c>
      <c r="E16" s="106" t="s">
        <v>120</v>
      </c>
      <c r="F16" s="107"/>
      <c r="G16" s="108">
        <f>SUM(G17:G22)</f>
        <v>3680</v>
      </c>
    </row>
    <row r="17" spans="1:7" ht="15">
      <c r="A17" s="86" t="s">
        <v>242</v>
      </c>
      <c r="B17" s="106" t="s">
        <v>20</v>
      </c>
      <c r="C17" s="106" t="s">
        <v>37</v>
      </c>
      <c r="D17" s="106" t="s">
        <v>38</v>
      </c>
      <c r="E17" s="106" t="s">
        <v>120</v>
      </c>
      <c r="F17" s="109" t="s">
        <v>295</v>
      </c>
      <c r="G17" s="108">
        <f>2642+36</f>
        <v>2678</v>
      </c>
    </row>
    <row r="18" spans="1:7" ht="30">
      <c r="A18" s="86" t="s">
        <v>243</v>
      </c>
      <c r="B18" s="106" t="s">
        <v>20</v>
      </c>
      <c r="C18" s="106" t="s">
        <v>37</v>
      </c>
      <c r="D18" s="106" t="s">
        <v>38</v>
      </c>
      <c r="E18" s="106" t="s">
        <v>120</v>
      </c>
      <c r="F18" s="109" t="s">
        <v>304</v>
      </c>
      <c r="G18" s="108">
        <f>31-10</f>
        <v>21</v>
      </c>
    </row>
    <row r="19" spans="1:7" ht="30">
      <c r="A19" s="86" t="s">
        <v>244</v>
      </c>
      <c r="B19" s="106" t="s">
        <v>20</v>
      </c>
      <c r="C19" s="106" t="s">
        <v>37</v>
      </c>
      <c r="D19" s="106" t="s">
        <v>38</v>
      </c>
      <c r="E19" s="106" t="s">
        <v>120</v>
      </c>
      <c r="F19" s="109" t="s">
        <v>247</v>
      </c>
      <c r="G19" s="108">
        <f>372-50-62</f>
        <v>260</v>
      </c>
    </row>
    <row r="20" spans="1:7" ht="30">
      <c r="A20" s="75" t="s">
        <v>262</v>
      </c>
      <c r="B20" s="106" t="s">
        <v>20</v>
      </c>
      <c r="C20" s="106" t="s">
        <v>37</v>
      </c>
      <c r="D20" s="106" t="s">
        <v>38</v>
      </c>
      <c r="E20" s="106" t="s">
        <v>120</v>
      </c>
      <c r="F20" s="109" t="s">
        <v>248</v>
      </c>
      <c r="G20" s="110">
        <f>1097-300-83</f>
        <v>714</v>
      </c>
    </row>
    <row r="21" spans="1:7" ht="30">
      <c r="A21" s="86" t="s">
        <v>245</v>
      </c>
      <c r="B21" s="106" t="s">
        <v>20</v>
      </c>
      <c r="C21" s="106" t="s">
        <v>37</v>
      </c>
      <c r="D21" s="106" t="s">
        <v>38</v>
      </c>
      <c r="E21" s="106" t="s">
        <v>120</v>
      </c>
      <c r="F21" s="109" t="s">
        <v>249</v>
      </c>
      <c r="G21" s="110">
        <f>21-20</f>
        <v>1</v>
      </c>
    </row>
    <row r="22" spans="1:7" ht="30">
      <c r="A22" s="86" t="s">
        <v>246</v>
      </c>
      <c r="B22" s="106" t="s">
        <v>20</v>
      </c>
      <c r="C22" s="106" t="s">
        <v>37</v>
      </c>
      <c r="D22" s="106" t="s">
        <v>38</v>
      </c>
      <c r="E22" s="106" t="s">
        <v>120</v>
      </c>
      <c r="F22" s="109" t="s">
        <v>250</v>
      </c>
      <c r="G22" s="110">
        <f>11-5</f>
        <v>6</v>
      </c>
    </row>
    <row r="23" spans="1:7" ht="30">
      <c r="A23" s="75" t="s">
        <v>107</v>
      </c>
      <c r="B23" s="106" t="s">
        <v>20</v>
      </c>
      <c r="C23" s="106" t="s">
        <v>37</v>
      </c>
      <c r="D23" s="106" t="s">
        <v>38</v>
      </c>
      <c r="E23" s="106" t="s">
        <v>259</v>
      </c>
      <c r="F23" s="107"/>
      <c r="G23" s="108">
        <f>G24</f>
        <v>1136</v>
      </c>
    </row>
    <row r="24" spans="1:7" ht="15">
      <c r="A24" s="86" t="s">
        <v>242</v>
      </c>
      <c r="B24" s="106" t="s">
        <v>20</v>
      </c>
      <c r="C24" s="106" t="s">
        <v>37</v>
      </c>
      <c r="D24" s="106" t="s">
        <v>38</v>
      </c>
      <c r="E24" s="106" t="s">
        <v>259</v>
      </c>
      <c r="F24" s="109" t="s">
        <v>295</v>
      </c>
      <c r="G24" s="108">
        <f>1060+76</f>
        <v>1136</v>
      </c>
    </row>
    <row r="25" spans="1:7" ht="15">
      <c r="A25" s="87" t="s">
        <v>110</v>
      </c>
      <c r="B25" s="102" t="s">
        <v>22</v>
      </c>
      <c r="C25" s="103"/>
      <c r="D25" s="103"/>
      <c r="E25" s="103"/>
      <c r="F25" s="104"/>
      <c r="G25" s="105">
        <f>G26+G87+G134+G144+G157+G161+G171+G177+G83</f>
        <v>191882.8</v>
      </c>
    </row>
    <row r="26" spans="1:7" ht="15">
      <c r="A26" s="75" t="s">
        <v>35</v>
      </c>
      <c r="B26" s="106" t="s">
        <v>22</v>
      </c>
      <c r="C26" s="106" t="s">
        <v>37</v>
      </c>
      <c r="D26" s="106"/>
      <c r="E26" s="106"/>
      <c r="F26" s="107"/>
      <c r="G26" s="108">
        <f>G27+G31+G45+G49+G53</f>
        <v>71083.6</v>
      </c>
    </row>
    <row r="27" spans="1:7" ht="45">
      <c r="A27" s="75" t="s">
        <v>191</v>
      </c>
      <c r="B27" s="106" t="s">
        <v>22</v>
      </c>
      <c r="C27" s="106" t="s">
        <v>37</v>
      </c>
      <c r="D27" s="106" t="s">
        <v>41</v>
      </c>
      <c r="E27" s="106"/>
      <c r="F27" s="107"/>
      <c r="G27" s="108">
        <f>G29</f>
        <v>1276</v>
      </c>
    </row>
    <row r="28" spans="1:7" ht="35.25" customHeight="1">
      <c r="A28" s="77" t="s">
        <v>252</v>
      </c>
      <c r="B28" s="106" t="s">
        <v>22</v>
      </c>
      <c r="C28" s="106" t="s">
        <v>37</v>
      </c>
      <c r="D28" s="106" t="s">
        <v>41</v>
      </c>
      <c r="E28" s="106" t="s">
        <v>119</v>
      </c>
      <c r="F28" s="107"/>
      <c r="G28" s="108">
        <f>G29</f>
        <v>1276</v>
      </c>
    </row>
    <row r="29" spans="1:7" ht="15">
      <c r="A29" s="77" t="s">
        <v>108</v>
      </c>
      <c r="B29" s="106" t="s">
        <v>22</v>
      </c>
      <c r="C29" s="106" t="s">
        <v>37</v>
      </c>
      <c r="D29" s="106" t="s">
        <v>41</v>
      </c>
      <c r="E29" s="106" t="s">
        <v>260</v>
      </c>
      <c r="F29" s="107"/>
      <c r="G29" s="108">
        <f>G30</f>
        <v>1276</v>
      </c>
    </row>
    <row r="30" spans="1:7" ht="15">
      <c r="A30" s="86" t="s">
        <v>242</v>
      </c>
      <c r="B30" s="106" t="s">
        <v>22</v>
      </c>
      <c r="C30" s="106" t="s">
        <v>37</v>
      </c>
      <c r="D30" s="106" t="s">
        <v>41</v>
      </c>
      <c r="E30" s="106" t="s">
        <v>260</v>
      </c>
      <c r="F30" s="109" t="s">
        <v>295</v>
      </c>
      <c r="G30" s="108">
        <f>1128+148</f>
        <v>1276</v>
      </c>
    </row>
    <row r="31" spans="1:7" ht="60">
      <c r="A31" s="77" t="s">
        <v>115</v>
      </c>
      <c r="B31" s="106" t="s">
        <v>22</v>
      </c>
      <c r="C31" s="106" t="s">
        <v>37</v>
      </c>
      <c r="D31" s="106" t="s">
        <v>40</v>
      </c>
      <c r="E31" s="106"/>
      <c r="F31" s="107"/>
      <c r="G31" s="108">
        <f>G32+G41</f>
        <v>50003.6</v>
      </c>
    </row>
    <row r="32" spans="1:7" ht="34.5" customHeight="1">
      <c r="A32" s="77" t="s">
        <v>252</v>
      </c>
      <c r="B32" s="106" t="s">
        <v>22</v>
      </c>
      <c r="C32" s="106" t="s">
        <v>37</v>
      </c>
      <c r="D32" s="106" t="s">
        <v>40</v>
      </c>
      <c r="E32" s="106" t="s">
        <v>119</v>
      </c>
      <c r="F32" s="107"/>
      <c r="G32" s="108">
        <f>G33</f>
        <v>49028.9</v>
      </c>
    </row>
    <row r="33" spans="1:7" ht="15">
      <c r="A33" s="77" t="s">
        <v>36</v>
      </c>
      <c r="B33" s="106" t="s">
        <v>22</v>
      </c>
      <c r="C33" s="106" t="s">
        <v>37</v>
      </c>
      <c r="D33" s="106" t="s">
        <v>40</v>
      </c>
      <c r="E33" s="106" t="s">
        <v>120</v>
      </c>
      <c r="F33" s="107"/>
      <c r="G33" s="108">
        <f>SUM(G34:G40)</f>
        <v>49028.9</v>
      </c>
    </row>
    <row r="34" spans="1:7" ht="15">
      <c r="A34" s="86" t="s">
        <v>242</v>
      </c>
      <c r="B34" s="106" t="s">
        <v>22</v>
      </c>
      <c r="C34" s="106" t="s">
        <v>37</v>
      </c>
      <c r="D34" s="106" t="s">
        <v>40</v>
      </c>
      <c r="E34" s="106" t="s">
        <v>120</v>
      </c>
      <c r="F34" s="109" t="s">
        <v>295</v>
      </c>
      <c r="G34" s="108">
        <f>33465-1283</f>
        <v>32182</v>
      </c>
    </row>
    <row r="35" spans="1:7" ht="30">
      <c r="A35" s="86" t="s">
        <v>243</v>
      </c>
      <c r="B35" s="106" t="s">
        <v>22</v>
      </c>
      <c r="C35" s="106" t="s">
        <v>37</v>
      </c>
      <c r="D35" s="106" t="s">
        <v>40</v>
      </c>
      <c r="E35" s="106" t="s">
        <v>120</v>
      </c>
      <c r="F35" s="109" t="s">
        <v>304</v>
      </c>
      <c r="G35" s="108">
        <f>50+200</f>
        <v>250</v>
      </c>
    </row>
    <row r="36" spans="1:7" ht="30">
      <c r="A36" s="86" t="s">
        <v>244</v>
      </c>
      <c r="B36" s="106" t="s">
        <v>22</v>
      </c>
      <c r="C36" s="106" t="s">
        <v>37</v>
      </c>
      <c r="D36" s="106" t="s">
        <v>40</v>
      </c>
      <c r="E36" s="106" t="s">
        <v>120</v>
      </c>
      <c r="F36" s="109" t="s">
        <v>247</v>
      </c>
      <c r="G36" s="108">
        <f>2812+182.9</f>
        <v>2994.9</v>
      </c>
    </row>
    <row r="37" spans="1:7" ht="30">
      <c r="A37" s="75" t="s">
        <v>262</v>
      </c>
      <c r="B37" s="106" t="s">
        <v>22</v>
      </c>
      <c r="C37" s="106" t="s">
        <v>37</v>
      </c>
      <c r="D37" s="106" t="s">
        <v>40</v>
      </c>
      <c r="E37" s="106" t="s">
        <v>120</v>
      </c>
      <c r="F37" s="109" t="s">
        <v>248</v>
      </c>
      <c r="G37" s="108">
        <f>13186-200-30.3</f>
        <v>12955.7</v>
      </c>
    </row>
    <row r="38" spans="1:7" ht="105">
      <c r="A38" s="75" t="s">
        <v>471</v>
      </c>
      <c r="B38" s="106" t="s">
        <v>22</v>
      </c>
      <c r="C38" s="106" t="s">
        <v>37</v>
      </c>
      <c r="D38" s="106" t="s">
        <v>40</v>
      </c>
      <c r="E38" s="106" t="s">
        <v>120</v>
      </c>
      <c r="F38" s="109" t="s">
        <v>472</v>
      </c>
      <c r="G38" s="108">
        <v>94.3</v>
      </c>
    </row>
    <row r="39" spans="1:7" ht="30">
      <c r="A39" s="86" t="s">
        <v>245</v>
      </c>
      <c r="B39" s="106" t="s">
        <v>22</v>
      </c>
      <c r="C39" s="106" t="s">
        <v>37</v>
      </c>
      <c r="D39" s="106" t="s">
        <v>40</v>
      </c>
      <c r="E39" s="106" t="s">
        <v>120</v>
      </c>
      <c r="F39" s="109" t="s">
        <v>249</v>
      </c>
      <c r="G39" s="108">
        <v>106</v>
      </c>
    </row>
    <row r="40" spans="1:7" ht="30">
      <c r="A40" s="86" t="s">
        <v>246</v>
      </c>
      <c r="B40" s="106" t="s">
        <v>22</v>
      </c>
      <c r="C40" s="106" t="s">
        <v>37</v>
      </c>
      <c r="D40" s="106" t="s">
        <v>40</v>
      </c>
      <c r="E40" s="106" t="s">
        <v>120</v>
      </c>
      <c r="F40" s="109" t="s">
        <v>250</v>
      </c>
      <c r="G40" s="108">
        <f>310+200-64</f>
        <v>446</v>
      </c>
    </row>
    <row r="41" spans="1:7" ht="15">
      <c r="A41" s="86" t="s">
        <v>146</v>
      </c>
      <c r="B41" s="106" t="s">
        <v>22</v>
      </c>
      <c r="C41" s="106" t="s">
        <v>37</v>
      </c>
      <c r="D41" s="106" t="s">
        <v>40</v>
      </c>
      <c r="E41" s="106" t="s">
        <v>124</v>
      </c>
      <c r="F41" s="109"/>
      <c r="G41" s="108">
        <f>G44+G43+G42</f>
        <v>974.7</v>
      </c>
    </row>
    <row r="42" spans="1:7" ht="30">
      <c r="A42" s="75" t="s">
        <v>262</v>
      </c>
      <c r="B42" s="106" t="s">
        <v>22</v>
      </c>
      <c r="C42" s="106" t="s">
        <v>37</v>
      </c>
      <c r="D42" s="106" t="s">
        <v>40</v>
      </c>
      <c r="E42" s="106" t="s">
        <v>124</v>
      </c>
      <c r="F42" s="109" t="s">
        <v>248</v>
      </c>
      <c r="G42" s="108">
        <v>112</v>
      </c>
    </row>
    <row r="43" spans="1:7" ht="45">
      <c r="A43" s="147" t="s">
        <v>0</v>
      </c>
      <c r="B43" s="106" t="s">
        <v>22</v>
      </c>
      <c r="C43" s="106" t="s">
        <v>37</v>
      </c>
      <c r="D43" s="106" t="s">
        <v>40</v>
      </c>
      <c r="E43" s="106" t="s">
        <v>124</v>
      </c>
      <c r="F43" s="109" t="s">
        <v>1</v>
      </c>
      <c r="G43" s="108">
        <v>362.7</v>
      </c>
    </row>
    <row r="44" spans="1:7" ht="15">
      <c r="A44" s="86" t="s">
        <v>515</v>
      </c>
      <c r="B44" s="106" t="s">
        <v>22</v>
      </c>
      <c r="C44" s="106" t="s">
        <v>37</v>
      </c>
      <c r="D44" s="106" t="s">
        <v>40</v>
      </c>
      <c r="E44" s="106" t="s">
        <v>124</v>
      </c>
      <c r="F44" s="109" t="s">
        <v>516</v>
      </c>
      <c r="G44" s="108">
        <v>500</v>
      </c>
    </row>
    <row r="45" spans="1:7" ht="22.5" customHeight="1">
      <c r="A45" s="86" t="s">
        <v>251</v>
      </c>
      <c r="B45" s="106" t="s">
        <v>22</v>
      </c>
      <c r="C45" s="106" t="s">
        <v>37</v>
      </c>
      <c r="D45" s="106" t="s">
        <v>42</v>
      </c>
      <c r="E45" s="106"/>
      <c r="F45" s="109"/>
      <c r="G45" s="108">
        <f>G46</f>
        <v>3000</v>
      </c>
    </row>
    <row r="46" spans="1:7" ht="15">
      <c r="A46" s="77" t="s">
        <v>272</v>
      </c>
      <c r="B46" s="106" t="s">
        <v>22</v>
      </c>
      <c r="C46" s="106" t="s">
        <v>37</v>
      </c>
      <c r="D46" s="106" t="s">
        <v>42</v>
      </c>
      <c r="E46" s="106" t="s">
        <v>273</v>
      </c>
      <c r="F46" s="109"/>
      <c r="G46" s="108">
        <f>G47</f>
        <v>3000</v>
      </c>
    </row>
    <row r="47" spans="1:7" ht="45">
      <c r="A47" s="77" t="s">
        <v>385</v>
      </c>
      <c r="B47" s="106" t="s">
        <v>22</v>
      </c>
      <c r="C47" s="106" t="s">
        <v>37</v>
      </c>
      <c r="D47" s="106" t="s">
        <v>42</v>
      </c>
      <c r="E47" s="106" t="s">
        <v>346</v>
      </c>
      <c r="F47" s="109"/>
      <c r="G47" s="108">
        <f>G48</f>
        <v>3000</v>
      </c>
    </row>
    <row r="48" spans="1:7" ht="15">
      <c r="A48" s="96" t="s">
        <v>364</v>
      </c>
      <c r="B48" s="106" t="s">
        <v>22</v>
      </c>
      <c r="C48" s="106" t="s">
        <v>37</v>
      </c>
      <c r="D48" s="106" t="s">
        <v>42</v>
      </c>
      <c r="E48" s="106" t="s">
        <v>346</v>
      </c>
      <c r="F48" s="107" t="s">
        <v>363</v>
      </c>
      <c r="G48" s="108">
        <v>3000</v>
      </c>
    </row>
    <row r="49" spans="1:7" ht="15">
      <c r="A49" s="75" t="s">
        <v>82</v>
      </c>
      <c r="B49" s="106" t="s">
        <v>22</v>
      </c>
      <c r="C49" s="106" t="s">
        <v>37</v>
      </c>
      <c r="D49" s="106" t="s">
        <v>140</v>
      </c>
      <c r="E49" s="106"/>
      <c r="F49" s="107"/>
      <c r="G49" s="108">
        <f>G50</f>
        <v>1222</v>
      </c>
    </row>
    <row r="50" spans="1:7" ht="15">
      <c r="A50" s="75" t="s">
        <v>82</v>
      </c>
      <c r="B50" s="106" t="s">
        <v>22</v>
      </c>
      <c r="C50" s="106" t="s">
        <v>37</v>
      </c>
      <c r="D50" s="106" t="s">
        <v>140</v>
      </c>
      <c r="E50" s="106" t="s">
        <v>43</v>
      </c>
      <c r="F50" s="107"/>
      <c r="G50" s="108">
        <f>G51</f>
        <v>1222</v>
      </c>
    </row>
    <row r="51" spans="1:7" ht="15">
      <c r="A51" s="75" t="s">
        <v>146</v>
      </c>
      <c r="B51" s="106" t="s">
        <v>22</v>
      </c>
      <c r="C51" s="106" t="s">
        <v>37</v>
      </c>
      <c r="D51" s="106" t="s">
        <v>140</v>
      </c>
      <c r="E51" s="106" t="s">
        <v>124</v>
      </c>
      <c r="F51" s="107"/>
      <c r="G51" s="108">
        <f>G52</f>
        <v>1222</v>
      </c>
    </row>
    <row r="52" spans="1:7" ht="15">
      <c r="A52" s="75" t="s">
        <v>261</v>
      </c>
      <c r="B52" s="106" t="s">
        <v>22</v>
      </c>
      <c r="C52" s="106" t="s">
        <v>37</v>
      </c>
      <c r="D52" s="106" t="s">
        <v>140</v>
      </c>
      <c r="E52" s="106" t="s">
        <v>124</v>
      </c>
      <c r="F52" s="107" t="s">
        <v>254</v>
      </c>
      <c r="G52" s="108">
        <f>3500-57.5-96.1-429-5-878-305.8-10-8-44-150.7-293.9</f>
        <v>1222</v>
      </c>
    </row>
    <row r="53" spans="1:7" ht="15">
      <c r="A53" s="75" t="s">
        <v>46</v>
      </c>
      <c r="B53" s="106" t="s">
        <v>22</v>
      </c>
      <c r="C53" s="106" t="s">
        <v>37</v>
      </c>
      <c r="D53" s="106" t="s">
        <v>211</v>
      </c>
      <c r="E53" s="106"/>
      <c r="F53" s="107"/>
      <c r="G53" s="108">
        <f>G63+G68+G72+G54+G57+G59+G77</f>
        <v>15582</v>
      </c>
    </row>
    <row r="54" spans="1:7" ht="30">
      <c r="A54" s="75" t="s">
        <v>357</v>
      </c>
      <c r="B54" s="106" t="s">
        <v>22</v>
      </c>
      <c r="C54" s="106" t="s">
        <v>37</v>
      </c>
      <c r="D54" s="106" t="s">
        <v>211</v>
      </c>
      <c r="E54" s="106" t="s">
        <v>358</v>
      </c>
      <c r="F54" s="107"/>
      <c r="G54" s="108">
        <f>G55</f>
        <v>5681</v>
      </c>
    </row>
    <row r="55" spans="1:7" ht="30">
      <c r="A55" s="75" t="s">
        <v>275</v>
      </c>
      <c r="B55" s="106" t="s">
        <v>22</v>
      </c>
      <c r="C55" s="106" t="s">
        <v>37</v>
      </c>
      <c r="D55" s="106" t="s">
        <v>211</v>
      </c>
      <c r="E55" s="106" t="s">
        <v>359</v>
      </c>
      <c r="F55" s="107"/>
      <c r="G55" s="108">
        <f>G56</f>
        <v>5681</v>
      </c>
    </row>
    <row r="56" spans="1:7" ht="60">
      <c r="A56" s="86" t="s">
        <v>14</v>
      </c>
      <c r="B56" s="106" t="s">
        <v>22</v>
      </c>
      <c r="C56" s="106" t="s">
        <v>37</v>
      </c>
      <c r="D56" s="106" t="s">
        <v>211</v>
      </c>
      <c r="E56" s="106" t="s">
        <v>359</v>
      </c>
      <c r="F56" s="107" t="s">
        <v>11</v>
      </c>
      <c r="G56" s="108">
        <f>7699+77-1960-135</f>
        <v>5681</v>
      </c>
    </row>
    <row r="57" spans="1:7" ht="30">
      <c r="A57" s="86" t="s">
        <v>429</v>
      </c>
      <c r="B57" s="106" t="s">
        <v>22</v>
      </c>
      <c r="C57" s="106" t="s">
        <v>37</v>
      </c>
      <c r="D57" s="106" t="s">
        <v>211</v>
      </c>
      <c r="E57" s="106" t="s">
        <v>415</v>
      </c>
      <c r="F57" s="107"/>
      <c r="G57" s="108">
        <f>G58</f>
        <v>243.4</v>
      </c>
    </row>
    <row r="58" spans="1:7" ht="30">
      <c r="A58" s="75" t="s">
        <v>13</v>
      </c>
      <c r="B58" s="106" t="s">
        <v>22</v>
      </c>
      <c r="C58" s="106" t="s">
        <v>37</v>
      </c>
      <c r="D58" s="106" t="s">
        <v>211</v>
      </c>
      <c r="E58" s="106" t="s">
        <v>415</v>
      </c>
      <c r="F58" s="107" t="s">
        <v>12</v>
      </c>
      <c r="G58" s="108">
        <v>243.4</v>
      </c>
    </row>
    <row r="59" spans="1:7" ht="45">
      <c r="A59" s="75" t="s">
        <v>416</v>
      </c>
      <c r="B59" s="106" t="s">
        <v>22</v>
      </c>
      <c r="C59" s="106" t="s">
        <v>37</v>
      </c>
      <c r="D59" s="106" t="s">
        <v>211</v>
      </c>
      <c r="E59" s="106" t="s">
        <v>417</v>
      </c>
      <c r="F59" s="107"/>
      <c r="G59" s="108">
        <f>G60</f>
        <v>6686.9</v>
      </c>
    </row>
    <row r="60" spans="1:7" ht="45">
      <c r="A60" s="75" t="s">
        <v>418</v>
      </c>
      <c r="B60" s="106" t="s">
        <v>22</v>
      </c>
      <c r="C60" s="106" t="s">
        <v>37</v>
      </c>
      <c r="D60" s="106" t="s">
        <v>211</v>
      </c>
      <c r="E60" s="106" t="s">
        <v>419</v>
      </c>
      <c r="F60" s="107"/>
      <c r="G60" s="108">
        <f>G61</f>
        <v>6686.9</v>
      </c>
    </row>
    <row r="61" spans="1:7" ht="45">
      <c r="A61" s="75" t="s">
        <v>341</v>
      </c>
      <c r="B61" s="106" t="s">
        <v>22</v>
      </c>
      <c r="C61" s="106" t="s">
        <v>37</v>
      </c>
      <c r="D61" s="106" t="s">
        <v>211</v>
      </c>
      <c r="E61" s="106" t="s">
        <v>419</v>
      </c>
      <c r="F61" s="107" t="s">
        <v>329</v>
      </c>
      <c r="G61" s="108">
        <f>6965-278.1</f>
        <v>6686.9</v>
      </c>
    </row>
    <row r="62" spans="1:7" ht="105">
      <c r="A62" s="77" t="s">
        <v>235</v>
      </c>
      <c r="B62" s="106" t="s">
        <v>22</v>
      </c>
      <c r="C62" s="106" t="s">
        <v>37</v>
      </c>
      <c r="D62" s="106" t="s">
        <v>211</v>
      </c>
      <c r="E62" s="106" t="s">
        <v>236</v>
      </c>
      <c r="F62" s="107"/>
      <c r="G62" s="108">
        <f>G63</f>
        <v>474.8</v>
      </c>
    </row>
    <row r="63" spans="1:7" ht="30">
      <c r="A63" s="77" t="s">
        <v>253</v>
      </c>
      <c r="B63" s="106" t="s">
        <v>22</v>
      </c>
      <c r="C63" s="106" t="s">
        <v>37</v>
      </c>
      <c r="D63" s="106" t="s">
        <v>211</v>
      </c>
      <c r="E63" s="106" t="s">
        <v>158</v>
      </c>
      <c r="F63" s="107"/>
      <c r="G63" s="108">
        <f>G64+G67+G65+G66</f>
        <v>474.8</v>
      </c>
    </row>
    <row r="64" spans="1:7" ht="15">
      <c r="A64" s="77" t="s">
        <v>242</v>
      </c>
      <c r="B64" s="106" t="s">
        <v>22</v>
      </c>
      <c r="C64" s="106" t="s">
        <v>37</v>
      </c>
      <c r="D64" s="106" t="s">
        <v>211</v>
      </c>
      <c r="E64" s="106" t="s">
        <v>158</v>
      </c>
      <c r="F64" s="107" t="s">
        <v>295</v>
      </c>
      <c r="G64" s="108">
        <v>410.7</v>
      </c>
    </row>
    <row r="65" spans="1:7" ht="30">
      <c r="A65" s="86" t="s">
        <v>243</v>
      </c>
      <c r="B65" s="106" t="s">
        <v>22</v>
      </c>
      <c r="C65" s="106" t="s">
        <v>37</v>
      </c>
      <c r="D65" s="106" t="s">
        <v>211</v>
      </c>
      <c r="E65" s="106" t="s">
        <v>158</v>
      </c>
      <c r="F65" s="107" t="s">
        <v>304</v>
      </c>
      <c r="G65" s="108">
        <v>0.5</v>
      </c>
    </row>
    <row r="66" spans="1:7" ht="30">
      <c r="A66" s="86" t="s">
        <v>244</v>
      </c>
      <c r="B66" s="106" t="s">
        <v>22</v>
      </c>
      <c r="C66" s="106" t="s">
        <v>37</v>
      </c>
      <c r="D66" s="106" t="s">
        <v>211</v>
      </c>
      <c r="E66" s="106" t="s">
        <v>158</v>
      </c>
      <c r="F66" s="107" t="s">
        <v>247</v>
      </c>
      <c r="G66" s="108">
        <f>23.3+4.3</f>
        <v>27.6</v>
      </c>
    </row>
    <row r="67" spans="1:7" ht="30">
      <c r="A67" s="75" t="s">
        <v>262</v>
      </c>
      <c r="B67" s="106" t="s">
        <v>22</v>
      </c>
      <c r="C67" s="106" t="s">
        <v>37</v>
      </c>
      <c r="D67" s="106" t="s">
        <v>211</v>
      </c>
      <c r="E67" s="106" t="s">
        <v>158</v>
      </c>
      <c r="F67" s="107" t="s">
        <v>248</v>
      </c>
      <c r="G67" s="108">
        <f>40.3-4.3</f>
        <v>36</v>
      </c>
    </row>
    <row r="68" spans="1:7" ht="30">
      <c r="A68" s="88" t="s">
        <v>159</v>
      </c>
      <c r="B68" s="106" t="s">
        <v>22</v>
      </c>
      <c r="C68" s="106" t="s">
        <v>37</v>
      </c>
      <c r="D68" s="106" t="s">
        <v>211</v>
      </c>
      <c r="E68" s="106" t="s">
        <v>160</v>
      </c>
      <c r="F68" s="107"/>
      <c r="G68" s="108">
        <f>G69+G71+G70</f>
        <v>506.8</v>
      </c>
    </row>
    <row r="69" spans="1:7" ht="15">
      <c r="A69" s="77" t="s">
        <v>242</v>
      </c>
      <c r="B69" s="106" t="s">
        <v>22</v>
      </c>
      <c r="C69" s="106" t="s">
        <v>37</v>
      </c>
      <c r="D69" s="106" t="s">
        <v>211</v>
      </c>
      <c r="E69" s="106" t="s">
        <v>160</v>
      </c>
      <c r="F69" s="107" t="s">
        <v>295</v>
      </c>
      <c r="G69" s="108">
        <v>448</v>
      </c>
    </row>
    <row r="70" spans="1:7" ht="30">
      <c r="A70" s="86" t="s">
        <v>244</v>
      </c>
      <c r="B70" s="106" t="s">
        <v>22</v>
      </c>
      <c r="C70" s="106" t="s">
        <v>37</v>
      </c>
      <c r="D70" s="106" t="s">
        <v>211</v>
      </c>
      <c r="E70" s="106" t="s">
        <v>160</v>
      </c>
      <c r="F70" s="107" t="s">
        <v>247</v>
      </c>
      <c r="G70" s="108">
        <v>15.7</v>
      </c>
    </row>
    <row r="71" spans="1:7" ht="30">
      <c r="A71" s="75" t="s">
        <v>262</v>
      </c>
      <c r="B71" s="106" t="s">
        <v>22</v>
      </c>
      <c r="C71" s="106" t="s">
        <v>37</v>
      </c>
      <c r="D71" s="106" t="s">
        <v>211</v>
      </c>
      <c r="E71" s="106" t="s">
        <v>160</v>
      </c>
      <c r="F71" s="107" t="s">
        <v>248</v>
      </c>
      <c r="G71" s="108">
        <v>43.1</v>
      </c>
    </row>
    <row r="72" spans="1:7" ht="30">
      <c r="A72" s="75" t="s">
        <v>100</v>
      </c>
      <c r="B72" s="106" t="s">
        <v>22</v>
      </c>
      <c r="C72" s="106" t="s">
        <v>37</v>
      </c>
      <c r="D72" s="106" t="s">
        <v>211</v>
      </c>
      <c r="E72" s="106" t="s">
        <v>101</v>
      </c>
      <c r="F72" s="107"/>
      <c r="G72" s="108">
        <f>G75+G73</f>
        <v>252</v>
      </c>
    </row>
    <row r="73" spans="1:7" ht="45">
      <c r="A73" s="89" t="s">
        <v>179</v>
      </c>
      <c r="B73" s="106" t="s">
        <v>22</v>
      </c>
      <c r="C73" s="106" t="s">
        <v>37</v>
      </c>
      <c r="D73" s="106" t="s">
        <v>211</v>
      </c>
      <c r="E73" s="111" t="s">
        <v>185</v>
      </c>
      <c r="F73" s="107"/>
      <c r="G73" s="108">
        <f>G74</f>
        <v>50</v>
      </c>
    </row>
    <row r="74" spans="1:7" ht="30">
      <c r="A74" s="75" t="s">
        <v>262</v>
      </c>
      <c r="B74" s="106" t="s">
        <v>22</v>
      </c>
      <c r="C74" s="106" t="s">
        <v>37</v>
      </c>
      <c r="D74" s="106" t="s">
        <v>211</v>
      </c>
      <c r="E74" s="111" t="s">
        <v>185</v>
      </c>
      <c r="F74" s="107" t="s">
        <v>248</v>
      </c>
      <c r="G74" s="108">
        <v>50</v>
      </c>
    </row>
    <row r="75" spans="1:7" ht="60">
      <c r="A75" s="77" t="s">
        <v>283</v>
      </c>
      <c r="B75" s="106" t="s">
        <v>22</v>
      </c>
      <c r="C75" s="106" t="s">
        <v>37</v>
      </c>
      <c r="D75" s="106" t="s">
        <v>211</v>
      </c>
      <c r="E75" s="106" t="s">
        <v>284</v>
      </c>
      <c r="F75" s="107"/>
      <c r="G75" s="108">
        <f>G76</f>
        <v>202</v>
      </c>
    </row>
    <row r="76" spans="1:7" ht="30">
      <c r="A76" s="100" t="s">
        <v>13</v>
      </c>
      <c r="B76" s="106" t="s">
        <v>22</v>
      </c>
      <c r="C76" s="106" t="s">
        <v>37</v>
      </c>
      <c r="D76" s="106" t="s">
        <v>211</v>
      </c>
      <c r="E76" s="106" t="s">
        <v>284</v>
      </c>
      <c r="F76" s="107" t="s">
        <v>12</v>
      </c>
      <c r="G76" s="108">
        <f>50+152</f>
        <v>202</v>
      </c>
    </row>
    <row r="77" spans="1:7" ht="37.5" customHeight="1">
      <c r="A77" s="100" t="s">
        <v>436</v>
      </c>
      <c r="B77" s="106" t="s">
        <v>22</v>
      </c>
      <c r="C77" s="106" t="s">
        <v>37</v>
      </c>
      <c r="D77" s="106" t="s">
        <v>211</v>
      </c>
      <c r="E77" s="106" t="s">
        <v>435</v>
      </c>
      <c r="F77" s="107"/>
      <c r="G77" s="108">
        <f>G78+G80</f>
        <v>1737.1</v>
      </c>
    </row>
    <row r="78" spans="1:7" ht="60">
      <c r="A78" s="75" t="s">
        <v>420</v>
      </c>
      <c r="B78" s="106" t="s">
        <v>22</v>
      </c>
      <c r="C78" s="106" t="s">
        <v>37</v>
      </c>
      <c r="D78" s="106" t="s">
        <v>211</v>
      </c>
      <c r="E78" s="111" t="s">
        <v>421</v>
      </c>
      <c r="F78" s="107"/>
      <c r="G78" s="108">
        <f>G79</f>
        <v>15</v>
      </c>
    </row>
    <row r="79" spans="1:7" ht="30">
      <c r="A79" s="75" t="s">
        <v>262</v>
      </c>
      <c r="B79" s="106" t="s">
        <v>22</v>
      </c>
      <c r="C79" s="106" t="s">
        <v>37</v>
      </c>
      <c r="D79" s="106" t="s">
        <v>211</v>
      </c>
      <c r="E79" s="111" t="s">
        <v>421</v>
      </c>
      <c r="F79" s="107" t="s">
        <v>248</v>
      </c>
      <c r="G79" s="108">
        <v>15</v>
      </c>
    </row>
    <row r="80" spans="1:7" ht="75">
      <c r="A80" s="100" t="s">
        <v>413</v>
      </c>
      <c r="B80" s="106" t="s">
        <v>22</v>
      </c>
      <c r="C80" s="106" t="s">
        <v>37</v>
      </c>
      <c r="D80" s="106" t="s">
        <v>211</v>
      </c>
      <c r="E80" s="106" t="s">
        <v>414</v>
      </c>
      <c r="F80" s="107"/>
      <c r="G80" s="108">
        <f>G81+G82</f>
        <v>1722.1</v>
      </c>
    </row>
    <row r="81" spans="1:7" ht="45">
      <c r="A81" s="75" t="s">
        <v>341</v>
      </c>
      <c r="B81" s="106" t="s">
        <v>22</v>
      </c>
      <c r="C81" s="106" t="s">
        <v>37</v>
      </c>
      <c r="D81" s="106" t="s">
        <v>211</v>
      </c>
      <c r="E81" s="106" t="s">
        <v>414</v>
      </c>
      <c r="F81" s="107" t="s">
        <v>329</v>
      </c>
      <c r="G81" s="108">
        <v>1602.1</v>
      </c>
    </row>
    <row r="82" spans="1:7" ht="30">
      <c r="A82" s="100" t="s">
        <v>13</v>
      </c>
      <c r="B82" s="106" t="s">
        <v>22</v>
      </c>
      <c r="C82" s="106" t="s">
        <v>37</v>
      </c>
      <c r="D82" s="106" t="s">
        <v>211</v>
      </c>
      <c r="E82" s="106" t="s">
        <v>414</v>
      </c>
      <c r="F82" s="107" t="s">
        <v>12</v>
      </c>
      <c r="G82" s="108">
        <v>120</v>
      </c>
    </row>
    <row r="83" spans="1:7" ht="30">
      <c r="A83" s="75" t="s">
        <v>49</v>
      </c>
      <c r="B83" s="106" t="s">
        <v>22</v>
      </c>
      <c r="C83" s="106" t="s">
        <v>50</v>
      </c>
      <c r="D83" s="106"/>
      <c r="E83" s="106"/>
      <c r="F83" s="107"/>
      <c r="G83" s="108">
        <f>G84</f>
        <v>49.5</v>
      </c>
    </row>
    <row r="84" spans="1:7" ht="47.25">
      <c r="A84" s="129" t="s">
        <v>141</v>
      </c>
      <c r="B84" s="106" t="s">
        <v>22</v>
      </c>
      <c r="C84" s="106" t="s">
        <v>50</v>
      </c>
      <c r="D84" s="106" t="s">
        <v>51</v>
      </c>
      <c r="E84" s="106"/>
      <c r="F84" s="107"/>
      <c r="G84" s="108">
        <f>G85</f>
        <v>49.5</v>
      </c>
    </row>
    <row r="85" spans="1:7" ht="15">
      <c r="A85" s="86" t="s">
        <v>146</v>
      </c>
      <c r="B85" s="106" t="s">
        <v>22</v>
      </c>
      <c r="C85" s="106" t="s">
        <v>50</v>
      </c>
      <c r="D85" s="106" t="s">
        <v>51</v>
      </c>
      <c r="E85" s="106" t="s">
        <v>563</v>
      </c>
      <c r="F85" s="109"/>
      <c r="G85" s="108">
        <f>G86</f>
        <v>49.5</v>
      </c>
    </row>
    <row r="86" spans="1:7" ht="30">
      <c r="A86" s="75" t="s">
        <v>262</v>
      </c>
      <c r="B86" s="106" t="s">
        <v>22</v>
      </c>
      <c r="C86" s="106" t="s">
        <v>50</v>
      </c>
      <c r="D86" s="106" t="s">
        <v>51</v>
      </c>
      <c r="E86" s="106" t="s">
        <v>563</v>
      </c>
      <c r="F86" s="109" t="s">
        <v>248</v>
      </c>
      <c r="G86" s="108">
        <v>49.5</v>
      </c>
    </row>
    <row r="87" spans="1:7" ht="15">
      <c r="A87" s="75" t="s">
        <v>79</v>
      </c>
      <c r="B87" s="106" t="s">
        <v>22</v>
      </c>
      <c r="C87" s="106" t="s">
        <v>47</v>
      </c>
      <c r="D87" s="106"/>
      <c r="E87" s="106"/>
      <c r="F87" s="107"/>
      <c r="G87" s="108">
        <f>G88+G99+G107</f>
        <v>61939.5</v>
      </c>
    </row>
    <row r="88" spans="1:7" ht="15.75">
      <c r="A88" s="132" t="s">
        <v>390</v>
      </c>
      <c r="B88" s="106" t="s">
        <v>22</v>
      </c>
      <c r="C88" s="106" t="s">
        <v>47</v>
      </c>
      <c r="D88" s="106" t="s">
        <v>391</v>
      </c>
      <c r="E88" s="106"/>
      <c r="F88" s="107"/>
      <c r="G88" s="108">
        <f>G91+G97+G89</f>
        <v>1100.1</v>
      </c>
    </row>
    <row r="89" spans="1:7" ht="31.5">
      <c r="A89" s="154" t="s">
        <v>564</v>
      </c>
      <c r="B89" s="106" t="s">
        <v>22</v>
      </c>
      <c r="C89" s="106" t="s">
        <v>47</v>
      </c>
      <c r="D89" s="106" t="s">
        <v>391</v>
      </c>
      <c r="E89" s="106" t="s">
        <v>565</v>
      </c>
      <c r="F89" s="107"/>
      <c r="G89" s="108">
        <f>G90</f>
        <v>443.1</v>
      </c>
    </row>
    <row r="90" spans="1:7" ht="47.25">
      <c r="A90" s="132" t="s">
        <v>566</v>
      </c>
      <c r="B90" s="106" t="s">
        <v>22</v>
      </c>
      <c r="C90" s="106" t="s">
        <v>47</v>
      </c>
      <c r="D90" s="106" t="s">
        <v>391</v>
      </c>
      <c r="E90" s="106" t="s">
        <v>565</v>
      </c>
      <c r="F90" s="107" t="s">
        <v>292</v>
      </c>
      <c r="G90" s="108">
        <v>443.1</v>
      </c>
    </row>
    <row r="91" spans="1:7" ht="60">
      <c r="A91" s="97" t="s">
        <v>540</v>
      </c>
      <c r="B91" s="106" t="s">
        <v>22</v>
      </c>
      <c r="C91" s="106" t="s">
        <v>47</v>
      </c>
      <c r="D91" s="106" t="s">
        <v>391</v>
      </c>
      <c r="E91" s="106" t="s">
        <v>541</v>
      </c>
      <c r="F91" s="107"/>
      <c r="G91" s="108">
        <f>G92</f>
        <v>407</v>
      </c>
    </row>
    <row r="92" spans="1:7" ht="45">
      <c r="A92" s="97" t="s">
        <v>542</v>
      </c>
      <c r="B92" s="106" t="s">
        <v>22</v>
      </c>
      <c r="C92" s="106" t="s">
        <v>47</v>
      </c>
      <c r="D92" s="106" t="s">
        <v>391</v>
      </c>
      <c r="E92" s="106" t="s">
        <v>543</v>
      </c>
      <c r="F92" s="107"/>
      <c r="G92" s="108">
        <f>G93+G95</f>
        <v>407</v>
      </c>
    </row>
    <row r="93" spans="1:7" ht="45">
      <c r="A93" s="97" t="s">
        <v>553</v>
      </c>
      <c r="B93" s="106" t="s">
        <v>22</v>
      </c>
      <c r="C93" s="106" t="s">
        <v>47</v>
      </c>
      <c r="D93" s="106" t="s">
        <v>391</v>
      </c>
      <c r="E93" s="106" t="s">
        <v>544</v>
      </c>
      <c r="F93" s="107"/>
      <c r="G93" s="108">
        <f>G94</f>
        <v>105.7</v>
      </c>
    </row>
    <row r="94" spans="1:7" ht="45">
      <c r="A94" s="97" t="s">
        <v>362</v>
      </c>
      <c r="B94" s="106" t="s">
        <v>22</v>
      </c>
      <c r="C94" s="106" t="s">
        <v>47</v>
      </c>
      <c r="D94" s="106" t="s">
        <v>391</v>
      </c>
      <c r="E94" s="106" t="s">
        <v>544</v>
      </c>
      <c r="F94" s="107" t="s">
        <v>292</v>
      </c>
      <c r="G94" s="108">
        <v>105.7</v>
      </c>
    </row>
    <row r="95" spans="1:7" ht="30">
      <c r="A95" s="97" t="s">
        <v>545</v>
      </c>
      <c r="B95" s="106" t="s">
        <v>22</v>
      </c>
      <c r="C95" s="106" t="s">
        <v>47</v>
      </c>
      <c r="D95" s="106" t="s">
        <v>391</v>
      </c>
      <c r="E95" s="106" t="s">
        <v>546</v>
      </c>
      <c r="F95" s="107"/>
      <c r="G95" s="108">
        <f>G96</f>
        <v>301.3</v>
      </c>
    </row>
    <row r="96" spans="1:7" ht="45">
      <c r="A96" s="97" t="s">
        <v>362</v>
      </c>
      <c r="B96" s="106" t="s">
        <v>22</v>
      </c>
      <c r="C96" s="106" t="s">
        <v>47</v>
      </c>
      <c r="D96" s="106" t="s">
        <v>391</v>
      </c>
      <c r="E96" s="106" t="s">
        <v>546</v>
      </c>
      <c r="F96" s="107" t="s">
        <v>292</v>
      </c>
      <c r="G96" s="108">
        <v>301.3</v>
      </c>
    </row>
    <row r="97" spans="1:7" ht="45">
      <c r="A97" s="77" t="s">
        <v>518</v>
      </c>
      <c r="B97" s="112" t="s">
        <v>22</v>
      </c>
      <c r="C97" s="106" t="s">
        <v>47</v>
      </c>
      <c r="D97" s="106" t="s">
        <v>391</v>
      </c>
      <c r="E97" s="111" t="s">
        <v>222</v>
      </c>
      <c r="F97" s="107"/>
      <c r="G97" s="108">
        <f>G98</f>
        <v>250</v>
      </c>
    </row>
    <row r="98" spans="1:7" ht="45">
      <c r="A98" s="97" t="s">
        <v>362</v>
      </c>
      <c r="B98" s="112" t="s">
        <v>22</v>
      </c>
      <c r="C98" s="106" t="s">
        <v>47</v>
      </c>
      <c r="D98" s="106" t="s">
        <v>391</v>
      </c>
      <c r="E98" s="111" t="s">
        <v>222</v>
      </c>
      <c r="F98" s="107" t="s">
        <v>292</v>
      </c>
      <c r="G98" s="108">
        <v>250</v>
      </c>
    </row>
    <row r="99" spans="1:7" ht="15">
      <c r="A99" s="89" t="s">
        <v>225</v>
      </c>
      <c r="B99" s="112" t="s">
        <v>22</v>
      </c>
      <c r="C99" s="112" t="s">
        <v>47</v>
      </c>
      <c r="D99" s="112" t="s">
        <v>142</v>
      </c>
      <c r="E99" s="106"/>
      <c r="F99" s="107"/>
      <c r="G99" s="108">
        <f>G100+G104</f>
        <v>28832.6</v>
      </c>
    </row>
    <row r="100" spans="1:7" ht="30">
      <c r="A100" s="75" t="s">
        <v>100</v>
      </c>
      <c r="B100" s="106" t="s">
        <v>22</v>
      </c>
      <c r="C100" s="106" t="s">
        <v>47</v>
      </c>
      <c r="D100" s="106" t="s">
        <v>142</v>
      </c>
      <c r="E100" s="106" t="s">
        <v>101</v>
      </c>
      <c r="F100" s="107"/>
      <c r="G100" s="108">
        <f>G101</f>
        <v>27682.7</v>
      </c>
    </row>
    <row r="101" spans="1:7" ht="30">
      <c r="A101" s="100" t="s">
        <v>376</v>
      </c>
      <c r="B101" s="106" t="s">
        <v>22</v>
      </c>
      <c r="C101" s="112" t="s">
        <v>47</v>
      </c>
      <c r="D101" s="112" t="s">
        <v>142</v>
      </c>
      <c r="E101" s="106" t="s">
        <v>298</v>
      </c>
      <c r="F101" s="107"/>
      <c r="G101" s="108">
        <f>G103+G102</f>
        <v>27682.7</v>
      </c>
    </row>
    <row r="102" spans="1:7" ht="30">
      <c r="A102" s="75" t="s">
        <v>262</v>
      </c>
      <c r="B102" s="106" t="s">
        <v>22</v>
      </c>
      <c r="C102" s="112" t="s">
        <v>47</v>
      </c>
      <c r="D102" s="112" t="s">
        <v>142</v>
      </c>
      <c r="E102" s="106" t="s">
        <v>298</v>
      </c>
      <c r="F102" s="107" t="s">
        <v>248</v>
      </c>
      <c r="G102" s="108">
        <f>1600+500</f>
        <v>2100</v>
      </c>
    </row>
    <row r="103" spans="1:7" ht="45">
      <c r="A103" s="75" t="s">
        <v>341</v>
      </c>
      <c r="B103" s="106" t="s">
        <v>22</v>
      </c>
      <c r="C103" s="112" t="s">
        <v>47</v>
      </c>
      <c r="D103" s="112" t="s">
        <v>142</v>
      </c>
      <c r="E103" s="106" t="s">
        <v>298</v>
      </c>
      <c r="F103" s="107" t="s">
        <v>329</v>
      </c>
      <c r="G103" s="108">
        <f>18178.7+653+6751</f>
        <v>25582.7</v>
      </c>
    </row>
    <row r="104" spans="1:7" ht="45">
      <c r="A104" s="75" t="s">
        <v>422</v>
      </c>
      <c r="B104" s="106" t="s">
        <v>22</v>
      </c>
      <c r="C104" s="112" t="s">
        <v>47</v>
      </c>
      <c r="D104" s="112" t="s">
        <v>142</v>
      </c>
      <c r="E104" s="106" t="s">
        <v>427</v>
      </c>
      <c r="F104" s="107"/>
      <c r="G104" s="108">
        <f>G105+G106</f>
        <v>1149.9</v>
      </c>
    </row>
    <row r="105" spans="1:7" ht="30">
      <c r="A105" s="75" t="s">
        <v>262</v>
      </c>
      <c r="B105" s="106" t="s">
        <v>22</v>
      </c>
      <c r="C105" s="112" t="s">
        <v>47</v>
      </c>
      <c r="D105" s="112" t="s">
        <v>142</v>
      </c>
      <c r="E105" s="106" t="s">
        <v>427</v>
      </c>
      <c r="F105" s="107" t="s">
        <v>248</v>
      </c>
      <c r="G105" s="108">
        <v>113.5</v>
      </c>
    </row>
    <row r="106" spans="1:7" ht="45">
      <c r="A106" s="75" t="s">
        <v>341</v>
      </c>
      <c r="B106" s="106" t="s">
        <v>22</v>
      </c>
      <c r="C106" s="112" t="s">
        <v>47</v>
      </c>
      <c r="D106" s="112" t="s">
        <v>142</v>
      </c>
      <c r="E106" s="106" t="s">
        <v>427</v>
      </c>
      <c r="F106" s="107" t="s">
        <v>329</v>
      </c>
      <c r="G106" s="108">
        <v>1036.4</v>
      </c>
    </row>
    <row r="107" spans="1:7" ht="30">
      <c r="A107" s="75" t="s">
        <v>48</v>
      </c>
      <c r="B107" s="106" t="s">
        <v>22</v>
      </c>
      <c r="C107" s="106" t="s">
        <v>47</v>
      </c>
      <c r="D107" s="106" t="s">
        <v>143</v>
      </c>
      <c r="E107" s="106"/>
      <c r="F107" s="107"/>
      <c r="G107" s="108">
        <f>G108+G119+G127+G111+G131+G123+G121</f>
        <v>32006.8</v>
      </c>
    </row>
    <row r="108" spans="1:7" ht="30">
      <c r="A108" s="75" t="s">
        <v>268</v>
      </c>
      <c r="B108" s="106" t="s">
        <v>22</v>
      </c>
      <c r="C108" s="106" t="s">
        <v>47</v>
      </c>
      <c r="D108" s="106" t="s">
        <v>143</v>
      </c>
      <c r="E108" s="106" t="s">
        <v>269</v>
      </c>
      <c r="F108" s="107"/>
      <c r="G108" s="108">
        <f>G110+G109</f>
        <v>1587.7</v>
      </c>
    </row>
    <row r="109" spans="1:7" ht="30">
      <c r="A109" s="86" t="s">
        <v>244</v>
      </c>
      <c r="B109" s="106" t="s">
        <v>22</v>
      </c>
      <c r="C109" s="106" t="s">
        <v>47</v>
      </c>
      <c r="D109" s="106" t="s">
        <v>143</v>
      </c>
      <c r="E109" s="106" t="s">
        <v>269</v>
      </c>
      <c r="F109" s="107" t="s">
        <v>247</v>
      </c>
      <c r="G109" s="108">
        <f>97.7+100</f>
        <v>197.7</v>
      </c>
    </row>
    <row r="110" spans="1:7" ht="30">
      <c r="A110" s="75" t="s">
        <v>262</v>
      </c>
      <c r="B110" s="106" t="s">
        <v>22</v>
      </c>
      <c r="C110" s="106" t="s">
        <v>47</v>
      </c>
      <c r="D110" s="106" t="s">
        <v>143</v>
      </c>
      <c r="E110" s="106" t="s">
        <v>269</v>
      </c>
      <c r="F110" s="107" t="s">
        <v>248</v>
      </c>
      <c r="G110" s="108">
        <f>1425-500+370+95</f>
        <v>1390</v>
      </c>
    </row>
    <row r="111" spans="1:7" ht="30">
      <c r="A111" s="75" t="s">
        <v>275</v>
      </c>
      <c r="B111" s="106" t="s">
        <v>22</v>
      </c>
      <c r="C111" s="106" t="s">
        <v>47</v>
      </c>
      <c r="D111" s="106" t="s">
        <v>143</v>
      </c>
      <c r="E111" s="106" t="s">
        <v>332</v>
      </c>
      <c r="F111" s="107"/>
      <c r="G111" s="108">
        <f>G112+G113+G114+G115+G116+G117</f>
        <v>6569</v>
      </c>
    </row>
    <row r="112" spans="1:7" ht="15">
      <c r="A112" s="86" t="s">
        <v>242</v>
      </c>
      <c r="B112" s="106" t="s">
        <v>22</v>
      </c>
      <c r="C112" s="106" t="s">
        <v>47</v>
      </c>
      <c r="D112" s="106" t="s">
        <v>143</v>
      </c>
      <c r="E112" s="106" t="s">
        <v>332</v>
      </c>
      <c r="F112" s="107" t="s">
        <v>258</v>
      </c>
      <c r="G112" s="108">
        <f>5682.3+78-76</f>
        <v>5684.3</v>
      </c>
    </row>
    <row r="113" spans="1:7" ht="30">
      <c r="A113" s="86" t="s">
        <v>243</v>
      </c>
      <c r="B113" s="106" t="s">
        <v>22</v>
      </c>
      <c r="C113" s="106" t="s">
        <v>47</v>
      </c>
      <c r="D113" s="106" t="s">
        <v>143</v>
      </c>
      <c r="E113" s="106" t="s">
        <v>332</v>
      </c>
      <c r="F113" s="107" t="s">
        <v>264</v>
      </c>
      <c r="G113" s="108">
        <f>2.5+5</f>
        <v>7.5</v>
      </c>
    </row>
    <row r="114" spans="1:7" ht="30">
      <c r="A114" s="86" t="s">
        <v>244</v>
      </c>
      <c r="B114" s="106" t="s">
        <v>22</v>
      </c>
      <c r="C114" s="106" t="s">
        <v>47</v>
      </c>
      <c r="D114" s="106" t="s">
        <v>143</v>
      </c>
      <c r="E114" s="106" t="s">
        <v>332</v>
      </c>
      <c r="F114" s="107" t="s">
        <v>247</v>
      </c>
      <c r="G114" s="108">
        <f>515-5-64.5</f>
        <v>445.5</v>
      </c>
    </row>
    <row r="115" spans="1:7" ht="30">
      <c r="A115" s="75" t="s">
        <v>262</v>
      </c>
      <c r="B115" s="106" t="s">
        <v>22</v>
      </c>
      <c r="C115" s="106" t="s">
        <v>47</v>
      </c>
      <c r="D115" s="106" t="s">
        <v>143</v>
      </c>
      <c r="E115" s="106" t="s">
        <v>332</v>
      </c>
      <c r="F115" s="107" t="s">
        <v>248</v>
      </c>
      <c r="G115" s="108">
        <f>241.3-32+46.4</f>
        <v>255.7</v>
      </c>
    </row>
    <row r="116" spans="1:7" ht="30">
      <c r="A116" s="86" t="s">
        <v>245</v>
      </c>
      <c r="B116" s="106" t="s">
        <v>22</v>
      </c>
      <c r="C116" s="106" t="s">
        <v>47</v>
      </c>
      <c r="D116" s="106" t="s">
        <v>143</v>
      </c>
      <c r="E116" s="106" t="s">
        <v>332</v>
      </c>
      <c r="F116" s="107" t="s">
        <v>249</v>
      </c>
      <c r="G116" s="108">
        <f>75+27+8</f>
        <v>110</v>
      </c>
    </row>
    <row r="117" spans="1:7" ht="30">
      <c r="A117" s="86" t="s">
        <v>246</v>
      </c>
      <c r="B117" s="106" t="s">
        <v>22</v>
      </c>
      <c r="C117" s="106" t="s">
        <v>47</v>
      </c>
      <c r="D117" s="106" t="s">
        <v>143</v>
      </c>
      <c r="E117" s="106" t="s">
        <v>332</v>
      </c>
      <c r="F117" s="107" t="s">
        <v>250</v>
      </c>
      <c r="G117" s="108">
        <f>51+10+5</f>
        <v>66</v>
      </c>
    </row>
    <row r="118" spans="1:7" ht="30">
      <c r="A118" s="75" t="s">
        <v>180</v>
      </c>
      <c r="B118" s="106" t="s">
        <v>22</v>
      </c>
      <c r="C118" s="106" t="s">
        <v>47</v>
      </c>
      <c r="D118" s="106" t="s">
        <v>143</v>
      </c>
      <c r="E118" s="106" t="s">
        <v>181</v>
      </c>
      <c r="F118" s="107"/>
      <c r="G118" s="108">
        <f>G119</f>
        <v>3094.5</v>
      </c>
    </row>
    <row r="119" spans="1:7" ht="30">
      <c r="A119" s="75" t="s">
        <v>182</v>
      </c>
      <c r="B119" s="106" t="s">
        <v>22</v>
      </c>
      <c r="C119" s="106" t="s">
        <v>47</v>
      </c>
      <c r="D119" s="106" t="s">
        <v>143</v>
      </c>
      <c r="E119" s="106" t="s">
        <v>183</v>
      </c>
      <c r="F119" s="107"/>
      <c r="G119" s="108">
        <f>G120</f>
        <v>3094.5</v>
      </c>
    </row>
    <row r="120" spans="1:7" ht="30">
      <c r="A120" s="75" t="s">
        <v>262</v>
      </c>
      <c r="B120" s="106" t="s">
        <v>22</v>
      </c>
      <c r="C120" s="106" t="s">
        <v>47</v>
      </c>
      <c r="D120" s="106" t="s">
        <v>143</v>
      </c>
      <c r="E120" s="106" t="s">
        <v>183</v>
      </c>
      <c r="F120" s="107" t="s">
        <v>248</v>
      </c>
      <c r="G120" s="108">
        <f>2200+57.1-1000+333+1405+99.4</f>
        <v>3094.5</v>
      </c>
    </row>
    <row r="121" spans="1:7" ht="45">
      <c r="A121" s="75" t="s">
        <v>532</v>
      </c>
      <c r="B121" s="106" t="s">
        <v>22</v>
      </c>
      <c r="C121" s="106" t="s">
        <v>47</v>
      </c>
      <c r="D121" s="106" t="s">
        <v>143</v>
      </c>
      <c r="E121" s="106" t="s">
        <v>533</v>
      </c>
      <c r="F121" s="107"/>
      <c r="G121" s="108">
        <f>+G122</f>
        <v>19049.8</v>
      </c>
    </row>
    <row r="122" spans="1:7" ht="45">
      <c r="A122" s="97" t="s">
        <v>362</v>
      </c>
      <c r="B122" s="106" t="s">
        <v>22</v>
      </c>
      <c r="C122" s="106" t="s">
        <v>47</v>
      </c>
      <c r="D122" s="106" t="s">
        <v>143</v>
      </c>
      <c r="E122" s="106" t="s">
        <v>533</v>
      </c>
      <c r="F122" s="107" t="s">
        <v>292</v>
      </c>
      <c r="G122" s="108">
        <v>19049.8</v>
      </c>
    </row>
    <row r="123" spans="1:7" ht="90">
      <c r="A123" s="75" t="s">
        <v>494</v>
      </c>
      <c r="B123" s="106" t="s">
        <v>22</v>
      </c>
      <c r="C123" s="106" t="s">
        <v>47</v>
      </c>
      <c r="D123" s="106" t="s">
        <v>143</v>
      </c>
      <c r="E123" s="106" t="s">
        <v>495</v>
      </c>
      <c r="F123" s="107"/>
      <c r="G123" s="108">
        <f>G124</f>
        <v>534.3</v>
      </c>
    </row>
    <row r="124" spans="1:7" ht="79.5" customHeight="1">
      <c r="A124" s="75" t="s">
        <v>554</v>
      </c>
      <c r="B124" s="106" t="s">
        <v>22</v>
      </c>
      <c r="C124" s="106" t="s">
        <v>47</v>
      </c>
      <c r="D124" s="106" t="s">
        <v>143</v>
      </c>
      <c r="E124" s="106" t="s">
        <v>496</v>
      </c>
      <c r="F124" s="107"/>
      <c r="G124" s="108">
        <f>G125+G126</f>
        <v>534.3</v>
      </c>
    </row>
    <row r="125" spans="1:7" ht="30">
      <c r="A125" s="75" t="s">
        <v>262</v>
      </c>
      <c r="B125" s="106" t="s">
        <v>22</v>
      </c>
      <c r="C125" s="106" t="s">
        <v>47</v>
      </c>
      <c r="D125" s="106" t="s">
        <v>143</v>
      </c>
      <c r="E125" s="106" t="s">
        <v>496</v>
      </c>
      <c r="F125" s="107" t="s">
        <v>248</v>
      </c>
      <c r="G125" s="108">
        <f>22+20</f>
        <v>42</v>
      </c>
    </row>
    <row r="126" spans="1:7" ht="45">
      <c r="A126" s="97" t="s">
        <v>362</v>
      </c>
      <c r="B126" s="106" t="s">
        <v>22</v>
      </c>
      <c r="C126" s="106" t="s">
        <v>47</v>
      </c>
      <c r="D126" s="106" t="s">
        <v>143</v>
      </c>
      <c r="E126" s="106" t="s">
        <v>496</v>
      </c>
      <c r="F126" s="107" t="s">
        <v>292</v>
      </c>
      <c r="G126" s="108">
        <f>170.1+322.2</f>
        <v>492.3</v>
      </c>
    </row>
    <row r="127" spans="1:7" ht="30">
      <c r="A127" s="75" t="s">
        <v>100</v>
      </c>
      <c r="B127" s="106" t="s">
        <v>22</v>
      </c>
      <c r="C127" s="106" t="s">
        <v>47</v>
      </c>
      <c r="D127" s="106" t="s">
        <v>143</v>
      </c>
      <c r="E127" s="106" t="s">
        <v>101</v>
      </c>
      <c r="F127" s="107"/>
      <c r="G127" s="108">
        <f>G128</f>
        <v>500</v>
      </c>
    </row>
    <row r="128" spans="1:7" ht="45">
      <c r="A128" s="75" t="s">
        <v>241</v>
      </c>
      <c r="B128" s="106" t="s">
        <v>22</v>
      </c>
      <c r="C128" s="106" t="s">
        <v>47</v>
      </c>
      <c r="D128" s="106" t="s">
        <v>143</v>
      </c>
      <c r="E128" s="111" t="s">
        <v>279</v>
      </c>
      <c r="F128" s="107"/>
      <c r="G128" s="108">
        <f>G129+G130</f>
        <v>500</v>
      </c>
    </row>
    <row r="129" spans="1:7" ht="30">
      <c r="A129" s="75" t="s">
        <v>262</v>
      </c>
      <c r="B129" s="112" t="s">
        <v>22</v>
      </c>
      <c r="C129" s="106" t="s">
        <v>47</v>
      </c>
      <c r="D129" s="106" t="s">
        <v>143</v>
      </c>
      <c r="E129" s="111" t="s">
        <v>279</v>
      </c>
      <c r="F129" s="107" t="s">
        <v>248</v>
      </c>
      <c r="G129" s="108">
        <v>50</v>
      </c>
    </row>
    <row r="130" spans="1:7" ht="45">
      <c r="A130" s="97" t="s">
        <v>362</v>
      </c>
      <c r="B130" s="112" t="s">
        <v>22</v>
      </c>
      <c r="C130" s="106" t="s">
        <v>47</v>
      </c>
      <c r="D130" s="106" t="s">
        <v>143</v>
      </c>
      <c r="E130" s="111" t="s">
        <v>279</v>
      </c>
      <c r="F130" s="107" t="s">
        <v>292</v>
      </c>
      <c r="G130" s="108">
        <v>450</v>
      </c>
    </row>
    <row r="131" spans="1:7" ht="60">
      <c r="A131" s="75" t="s">
        <v>423</v>
      </c>
      <c r="B131" s="112" t="s">
        <v>22</v>
      </c>
      <c r="C131" s="106" t="s">
        <v>47</v>
      </c>
      <c r="D131" s="106" t="s">
        <v>143</v>
      </c>
      <c r="E131" s="111" t="s">
        <v>426</v>
      </c>
      <c r="F131" s="107"/>
      <c r="G131" s="108">
        <f>G132+G133</f>
        <v>671.5</v>
      </c>
    </row>
    <row r="132" spans="1:7" ht="30">
      <c r="A132" s="75" t="s">
        <v>262</v>
      </c>
      <c r="B132" s="112" t="s">
        <v>22</v>
      </c>
      <c r="C132" s="106" t="s">
        <v>47</v>
      </c>
      <c r="D132" s="106" t="s">
        <v>143</v>
      </c>
      <c r="E132" s="111" t="s">
        <v>426</v>
      </c>
      <c r="F132" s="107" t="s">
        <v>248</v>
      </c>
      <c r="G132" s="108">
        <v>623.8</v>
      </c>
    </row>
    <row r="133" spans="1:7" ht="45">
      <c r="A133" s="97" t="s">
        <v>362</v>
      </c>
      <c r="B133" s="112" t="s">
        <v>22</v>
      </c>
      <c r="C133" s="106" t="s">
        <v>47</v>
      </c>
      <c r="D133" s="106" t="s">
        <v>143</v>
      </c>
      <c r="E133" s="111" t="s">
        <v>426</v>
      </c>
      <c r="F133" s="107" t="s">
        <v>292</v>
      </c>
      <c r="G133" s="108">
        <v>47.7</v>
      </c>
    </row>
    <row r="134" spans="1:7" ht="15">
      <c r="A134" s="75" t="s">
        <v>27</v>
      </c>
      <c r="B134" s="112" t="s">
        <v>22</v>
      </c>
      <c r="C134" s="106" t="s">
        <v>78</v>
      </c>
      <c r="D134" s="106"/>
      <c r="E134" s="106"/>
      <c r="F134" s="107"/>
      <c r="G134" s="108">
        <f>G135</f>
        <v>50108.1</v>
      </c>
    </row>
    <row r="135" spans="1:7" ht="15">
      <c r="A135" s="75" t="s">
        <v>97</v>
      </c>
      <c r="B135" s="112" t="s">
        <v>22</v>
      </c>
      <c r="C135" s="106" t="s">
        <v>78</v>
      </c>
      <c r="D135" s="106" t="s">
        <v>98</v>
      </c>
      <c r="E135" s="106"/>
      <c r="F135" s="107"/>
      <c r="G135" s="108">
        <f>G142+G136+G138+G141</f>
        <v>50108.1</v>
      </c>
    </row>
    <row r="136" spans="1:7" ht="105">
      <c r="A136" s="141" t="s">
        <v>497</v>
      </c>
      <c r="B136" s="106" t="s">
        <v>22</v>
      </c>
      <c r="C136" s="106" t="s">
        <v>78</v>
      </c>
      <c r="D136" s="106" t="s">
        <v>98</v>
      </c>
      <c r="E136" s="106" t="s">
        <v>498</v>
      </c>
      <c r="F136" s="106"/>
      <c r="G136" s="108">
        <f>G137</f>
        <v>33782.9</v>
      </c>
    </row>
    <row r="137" spans="1:7" ht="33" customHeight="1">
      <c r="A137" s="75" t="s">
        <v>341</v>
      </c>
      <c r="B137" s="106" t="s">
        <v>22</v>
      </c>
      <c r="C137" s="106" t="s">
        <v>78</v>
      </c>
      <c r="D137" s="106" t="s">
        <v>98</v>
      </c>
      <c r="E137" s="106" t="s">
        <v>498</v>
      </c>
      <c r="F137" s="106" t="s">
        <v>329</v>
      </c>
      <c r="G137" s="108">
        <v>33782.9</v>
      </c>
    </row>
    <row r="138" spans="1:7" ht="75">
      <c r="A138" s="141" t="s">
        <v>499</v>
      </c>
      <c r="B138" s="106" t="s">
        <v>22</v>
      </c>
      <c r="C138" s="106" t="s">
        <v>78</v>
      </c>
      <c r="D138" s="106" t="s">
        <v>98</v>
      </c>
      <c r="E138" s="106" t="s">
        <v>500</v>
      </c>
      <c r="F138" s="106"/>
      <c r="G138" s="108">
        <f>G139</f>
        <v>12596.7</v>
      </c>
    </row>
    <row r="139" spans="1:7" ht="36.75" customHeight="1">
      <c r="A139" s="75" t="s">
        <v>341</v>
      </c>
      <c r="B139" s="106" t="s">
        <v>22</v>
      </c>
      <c r="C139" s="106" t="s">
        <v>78</v>
      </c>
      <c r="D139" s="106" t="s">
        <v>98</v>
      </c>
      <c r="E139" s="106" t="s">
        <v>500</v>
      </c>
      <c r="F139" s="106" t="s">
        <v>329</v>
      </c>
      <c r="G139" s="108">
        <v>12596.7</v>
      </c>
    </row>
    <row r="140" spans="1:7" ht="61.5" customHeight="1">
      <c r="A140" s="75" t="s">
        <v>526</v>
      </c>
      <c r="B140" s="106" t="s">
        <v>22</v>
      </c>
      <c r="C140" s="106" t="s">
        <v>78</v>
      </c>
      <c r="D140" s="106" t="s">
        <v>98</v>
      </c>
      <c r="E140" s="106" t="s">
        <v>517</v>
      </c>
      <c r="F140" s="107"/>
      <c r="G140" s="108">
        <f>G141</f>
        <v>3410.5</v>
      </c>
    </row>
    <row r="141" spans="1:7" ht="45">
      <c r="A141" s="75" t="s">
        <v>341</v>
      </c>
      <c r="B141" s="106" t="s">
        <v>22</v>
      </c>
      <c r="C141" s="106" t="s">
        <v>78</v>
      </c>
      <c r="D141" s="106" t="s">
        <v>98</v>
      </c>
      <c r="E141" s="106" t="s">
        <v>517</v>
      </c>
      <c r="F141" s="114" t="s">
        <v>329</v>
      </c>
      <c r="G141" s="108">
        <v>3410.5</v>
      </c>
    </row>
    <row r="142" spans="1:7" ht="75">
      <c r="A142" s="98" t="s">
        <v>527</v>
      </c>
      <c r="B142" s="113" t="s">
        <v>22</v>
      </c>
      <c r="C142" s="113" t="s">
        <v>78</v>
      </c>
      <c r="D142" s="113" t="s">
        <v>98</v>
      </c>
      <c r="E142" s="113" t="s">
        <v>447</v>
      </c>
      <c r="F142" s="107"/>
      <c r="G142" s="108">
        <f>G143</f>
        <v>318</v>
      </c>
    </row>
    <row r="143" spans="1:7" ht="45">
      <c r="A143" s="75" t="s">
        <v>341</v>
      </c>
      <c r="B143" s="113" t="s">
        <v>22</v>
      </c>
      <c r="C143" s="113" t="s">
        <v>78</v>
      </c>
      <c r="D143" s="113" t="s">
        <v>98</v>
      </c>
      <c r="E143" s="113" t="s">
        <v>447</v>
      </c>
      <c r="F143" s="114" t="s">
        <v>329</v>
      </c>
      <c r="G143" s="108">
        <v>318</v>
      </c>
    </row>
    <row r="144" spans="1:7" ht="15">
      <c r="A144" s="75" t="s">
        <v>30</v>
      </c>
      <c r="B144" s="106" t="s">
        <v>22</v>
      </c>
      <c r="C144" s="106" t="s">
        <v>52</v>
      </c>
      <c r="D144" s="106"/>
      <c r="E144" s="106"/>
      <c r="F144" s="107"/>
      <c r="G144" s="108">
        <f>G145</f>
        <v>4384.5</v>
      </c>
    </row>
    <row r="145" spans="1:7" ht="15">
      <c r="A145" s="75" t="s">
        <v>33</v>
      </c>
      <c r="B145" s="106" t="s">
        <v>22</v>
      </c>
      <c r="C145" s="106" t="s">
        <v>52</v>
      </c>
      <c r="D145" s="106" t="s">
        <v>62</v>
      </c>
      <c r="E145" s="106"/>
      <c r="F145" s="107"/>
      <c r="G145" s="108">
        <f>G146+G154+G151</f>
        <v>4384.5</v>
      </c>
    </row>
    <row r="146" spans="1:7" ht="30">
      <c r="A146" s="90" t="s">
        <v>161</v>
      </c>
      <c r="B146" s="106" t="s">
        <v>22</v>
      </c>
      <c r="C146" s="106" t="s">
        <v>52</v>
      </c>
      <c r="D146" s="106" t="s">
        <v>62</v>
      </c>
      <c r="E146" s="106" t="s">
        <v>162</v>
      </c>
      <c r="F146" s="107"/>
      <c r="G146" s="108">
        <f>SUM(G147:G150)</f>
        <v>1487.5</v>
      </c>
    </row>
    <row r="147" spans="1:7" ht="15">
      <c r="A147" s="77" t="s">
        <v>242</v>
      </c>
      <c r="B147" s="106" t="s">
        <v>22</v>
      </c>
      <c r="C147" s="106" t="s">
        <v>52</v>
      </c>
      <c r="D147" s="106" t="s">
        <v>62</v>
      </c>
      <c r="E147" s="106" t="s">
        <v>162</v>
      </c>
      <c r="F147" s="107" t="s">
        <v>295</v>
      </c>
      <c r="G147" s="108">
        <v>896</v>
      </c>
    </row>
    <row r="148" spans="1:7" ht="30">
      <c r="A148" s="86" t="s">
        <v>243</v>
      </c>
      <c r="B148" s="106" t="s">
        <v>22</v>
      </c>
      <c r="C148" s="106" t="s">
        <v>52</v>
      </c>
      <c r="D148" s="106" t="s">
        <v>62</v>
      </c>
      <c r="E148" s="106" t="s">
        <v>162</v>
      </c>
      <c r="F148" s="107" t="s">
        <v>304</v>
      </c>
      <c r="G148" s="108">
        <f>4.8+0.9</f>
        <v>5.7</v>
      </c>
    </row>
    <row r="149" spans="1:7" ht="30">
      <c r="A149" s="86" t="s">
        <v>244</v>
      </c>
      <c r="B149" s="106" t="s">
        <v>22</v>
      </c>
      <c r="C149" s="106" t="s">
        <v>52</v>
      </c>
      <c r="D149" s="106" t="s">
        <v>62</v>
      </c>
      <c r="E149" s="106" t="s">
        <v>162</v>
      </c>
      <c r="F149" s="107" t="s">
        <v>247</v>
      </c>
      <c r="G149" s="108">
        <f>285.1-25.9</f>
        <v>259.2</v>
      </c>
    </row>
    <row r="150" spans="1:7" ht="30">
      <c r="A150" s="75" t="s">
        <v>262</v>
      </c>
      <c r="B150" s="106" t="s">
        <v>22</v>
      </c>
      <c r="C150" s="106" t="s">
        <v>52</v>
      </c>
      <c r="D150" s="106" t="s">
        <v>62</v>
      </c>
      <c r="E150" s="106" t="s">
        <v>162</v>
      </c>
      <c r="F150" s="107" t="s">
        <v>248</v>
      </c>
      <c r="G150" s="108">
        <f>301.6+25</f>
        <v>326.6</v>
      </c>
    </row>
    <row r="151" spans="1:7" ht="30">
      <c r="A151" s="96" t="s">
        <v>506</v>
      </c>
      <c r="B151" s="106" t="s">
        <v>22</v>
      </c>
      <c r="C151" s="106" t="s">
        <v>52</v>
      </c>
      <c r="D151" s="106" t="s">
        <v>62</v>
      </c>
      <c r="E151" s="106" t="s">
        <v>507</v>
      </c>
      <c r="F151" s="107"/>
      <c r="G151" s="108">
        <f>G152</f>
        <v>860.2</v>
      </c>
    </row>
    <row r="152" spans="1:7" ht="30">
      <c r="A152" s="138" t="s">
        <v>403</v>
      </c>
      <c r="B152" s="106" t="s">
        <v>22</v>
      </c>
      <c r="C152" s="106" t="s">
        <v>52</v>
      </c>
      <c r="D152" s="106" t="s">
        <v>62</v>
      </c>
      <c r="E152" s="106" t="s">
        <v>507</v>
      </c>
      <c r="F152" s="107"/>
      <c r="G152" s="108">
        <f>G153</f>
        <v>860.2</v>
      </c>
    </row>
    <row r="153" spans="1:7" ht="30">
      <c r="A153" s="75" t="s">
        <v>262</v>
      </c>
      <c r="B153" s="106" t="s">
        <v>22</v>
      </c>
      <c r="C153" s="106" t="s">
        <v>52</v>
      </c>
      <c r="D153" s="106" t="s">
        <v>62</v>
      </c>
      <c r="E153" s="106" t="s">
        <v>507</v>
      </c>
      <c r="F153" s="107" t="s">
        <v>248</v>
      </c>
      <c r="G153" s="108">
        <f>417+159+284.2</f>
        <v>860.2</v>
      </c>
    </row>
    <row r="154" spans="1:7" ht="45">
      <c r="A154" s="96" t="s">
        <v>492</v>
      </c>
      <c r="B154" s="106" t="s">
        <v>22</v>
      </c>
      <c r="C154" s="106" t="s">
        <v>52</v>
      </c>
      <c r="D154" s="106" t="s">
        <v>62</v>
      </c>
      <c r="E154" s="106" t="s">
        <v>424</v>
      </c>
      <c r="F154" s="107"/>
      <c r="G154" s="108">
        <f>G155</f>
        <v>2036.8</v>
      </c>
    </row>
    <row r="155" spans="1:7" ht="30">
      <c r="A155" s="138" t="s">
        <v>403</v>
      </c>
      <c r="B155" s="106" t="s">
        <v>22</v>
      </c>
      <c r="C155" s="106" t="s">
        <v>52</v>
      </c>
      <c r="D155" s="106" t="s">
        <v>62</v>
      </c>
      <c r="E155" s="106" t="s">
        <v>425</v>
      </c>
      <c r="F155" s="107"/>
      <c r="G155" s="108">
        <f>G156</f>
        <v>2036.8</v>
      </c>
    </row>
    <row r="156" spans="1:7" ht="30">
      <c r="A156" s="75" t="s">
        <v>262</v>
      </c>
      <c r="B156" s="106" t="s">
        <v>22</v>
      </c>
      <c r="C156" s="106" t="s">
        <v>52</v>
      </c>
      <c r="D156" s="106" t="s">
        <v>62</v>
      </c>
      <c r="E156" s="106" t="s">
        <v>425</v>
      </c>
      <c r="F156" s="107" t="s">
        <v>248</v>
      </c>
      <c r="G156" s="108">
        <v>2036.8</v>
      </c>
    </row>
    <row r="157" spans="1:7" ht="15">
      <c r="A157" s="86" t="s">
        <v>270</v>
      </c>
      <c r="B157" s="106" t="s">
        <v>22</v>
      </c>
      <c r="C157" s="106" t="s">
        <v>26</v>
      </c>
      <c r="D157" s="106"/>
      <c r="E157" s="106"/>
      <c r="F157" s="107"/>
      <c r="G157" s="108">
        <f>G158</f>
        <v>350</v>
      </c>
    </row>
    <row r="158" spans="1:7" ht="15">
      <c r="A158" s="86" t="s">
        <v>64</v>
      </c>
      <c r="B158" s="106" t="s">
        <v>22</v>
      </c>
      <c r="C158" s="106" t="s">
        <v>26</v>
      </c>
      <c r="D158" s="106" t="s">
        <v>65</v>
      </c>
      <c r="E158" s="106"/>
      <c r="F158" s="126"/>
      <c r="G158" s="108">
        <f>G159</f>
        <v>350</v>
      </c>
    </row>
    <row r="159" spans="1:7" ht="30">
      <c r="A159" s="75" t="s">
        <v>281</v>
      </c>
      <c r="B159" s="106" t="s">
        <v>22</v>
      </c>
      <c r="C159" s="106" t="s">
        <v>26</v>
      </c>
      <c r="D159" s="106" t="s">
        <v>65</v>
      </c>
      <c r="E159" s="106" t="s">
        <v>230</v>
      </c>
      <c r="F159" s="107"/>
      <c r="G159" s="108">
        <f>G160</f>
        <v>350</v>
      </c>
    </row>
    <row r="160" spans="1:7" ht="30">
      <c r="A160" s="75" t="s">
        <v>262</v>
      </c>
      <c r="B160" s="106" t="s">
        <v>22</v>
      </c>
      <c r="C160" s="106" t="s">
        <v>26</v>
      </c>
      <c r="D160" s="106" t="s">
        <v>65</v>
      </c>
      <c r="E160" s="106" t="s">
        <v>230</v>
      </c>
      <c r="F160" s="107" t="s">
        <v>248</v>
      </c>
      <c r="G160" s="108">
        <f>350</f>
        <v>350</v>
      </c>
    </row>
    <row r="161" spans="1:7" ht="15">
      <c r="A161" s="75" t="s">
        <v>25</v>
      </c>
      <c r="B161" s="106" t="s">
        <v>22</v>
      </c>
      <c r="C161" s="106" t="s">
        <v>71</v>
      </c>
      <c r="D161" s="106"/>
      <c r="E161" s="106"/>
      <c r="F161" s="107"/>
      <c r="G161" s="108">
        <f>G162+G169+G167</f>
        <v>3211.6</v>
      </c>
    </row>
    <row r="162" spans="1:7" ht="15">
      <c r="A162" s="75" t="s">
        <v>72</v>
      </c>
      <c r="B162" s="106" t="s">
        <v>22</v>
      </c>
      <c r="C162" s="106" t="s">
        <v>71</v>
      </c>
      <c r="D162" s="106" t="s">
        <v>73</v>
      </c>
      <c r="E162" s="106"/>
      <c r="F162" s="107"/>
      <c r="G162" s="108">
        <f>G163</f>
        <v>1432</v>
      </c>
    </row>
    <row r="163" spans="1:7" ht="15">
      <c r="A163" s="75" t="s">
        <v>192</v>
      </c>
      <c r="B163" s="106" t="s">
        <v>22</v>
      </c>
      <c r="C163" s="106" t="s">
        <v>71</v>
      </c>
      <c r="D163" s="106" t="s">
        <v>73</v>
      </c>
      <c r="E163" s="106" t="s">
        <v>193</v>
      </c>
      <c r="F163" s="107"/>
      <c r="G163" s="108">
        <f>G164</f>
        <v>1432</v>
      </c>
    </row>
    <row r="164" spans="1:7" ht="15">
      <c r="A164" s="75" t="s">
        <v>339</v>
      </c>
      <c r="B164" s="106" t="s">
        <v>22</v>
      </c>
      <c r="C164" s="106" t="s">
        <v>71</v>
      </c>
      <c r="D164" s="106" t="s">
        <v>73</v>
      </c>
      <c r="E164" s="106" t="s">
        <v>305</v>
      </c>
      <c r="F164" s="107"/>
      <c r="G164" s="108">
        <f>G165</f>
        <v>1432</v>
      </c>
    </row>
    <row r="165" spans="1:7" ht="45">
      <c r="A165" s="75" t="s">
        <v>0</v>
      </c>
      <c r="B165" s="106" t="s">
        <v>22</v>
      </c>
      <c r="C165" s="106" t="s">
        <v>71</v>
      </c>
      <c r="D165" s="106" t="s">
        <v>73</v>
      </c>
      <c r="E165" s="106" t="s">
        <v>305</v>
      </c>
      <c r="F165" s="107" t="s">
        <v>1</v>
      </c>
      <c r="G165" s="108">
        <v>1432</v>
      </c>
    </row>
    <row r="166" spans="1:7" ht="15">
      <c r="A166" s="75" t="s">
        <v>74</v>
      </c>
      <c r="B166" s="106" t="s">
        <v>22</v>
      </c>
      <c r="C166" s="106" t="s">
        <v>71</v>
      </c>
      <c r="D166" s="106" t="s">
        <v>75</v>
      </c>
      <c r="E166" s="106"/>
      <c r="F166" s="107"/>
      <c r="G166" s="108">
        <f>G167+G170</f>
        <v>1779.6</v>
      </c>
    </row>
    <row r="167" spans="1:7" ht="15">
      <c r="A167" s="75" t="s">
        <v>146</v>
      </c>
      <c r="B167" s="106" t="s">
        <v>22</v>
      </c>
      <c r="C167" s="106" t="s">
        <v>71</v>
      </c>
      <c r="D167" s="106" t="s">
        <v>75</v>
      </c>
      <c r="E167" s="106" t="s">
        <v>124</v>
      </c>
      <c r="F167" s="107"/>
      <c r="G167" s="108">
        <f>G168</f>
        <v>1239.6</v>
      </c>
    </row>
    <row r="168" spans="1:7" ht="15">
      <c r="A168" s="75" t="s">
        <v>261</v>
      </c>
      <c r="B168" s="106" t="s">
        <v>22</v>
      </c>
      <c r="C168" s="106" t="s">
        <v>71</v>
      </c>
      <c r="D168" s="106" t="s">
        <v>75</v>
      </c>
      <c r="E168" s="106" t="s">
        <v>124</v>
      </c>
      <c r="F168" s="107" t="s">
        <v>254</v>
      </c>
      <c r="G168" s="108">
        <f>333.4+334.4+295.9+275.9</f>
        <v>1239.6</v>
      </c>
    </row>
    <row r="169" spans="1:7" ht="45">
      <c r="A169" s="127" t="s">
        <v>377</v>
      </c>
      <c r="B169" s="106" t="s">
        <v>22</v>
      </c>
      <c r="C169" s="106" t="s">
        <v>71</v>
      </c>
      <c r="D169" s="106" t="s">
        <v>75</v>
      </c>
      <c r="E169" s="106" t="s">
        <v>178</v>
      </c>
      <c r="F169" s="107"/>
      <c r="G169" s="108">
        <f>G170</f>
        <v>540</v>
      </c>
    </row>
    <row r="170" spans="1:7" ht="30">
      <c r="A170" s="77" t="s">
        <v>263</v>
      </c>
      <c r="B170" s="106" t="s">
        <v>22</v>
      </c>
      <c r="C170" s="106" t="s">
        <v>71</v>
      </c>
      <c r="D170" s="106" t="s">
        <v>75</v>
      </c>
      <c r="E170" s="106" t="s">
        <v>178</v>
      </c>
      <c r="F170" s="107" t="s">
        <v>2</v>
      </c>
      <c r="G170" s="108">
        <v>540</v>
      </c>
    </row>
    <row r="171" spans="1:7" ht="15">
      <c r="A171" s="75" t="s">
        <v>117</v>
      </c>
      <c r="B171" s="106" t="s">
        <v>22</v>
      </c>
      <c r="C171" s="106" t="s">
        <v>202</v>
      </c>
      <c r="D171" s="106"/>
      <c r="E171" s="106"/>
      <c r="F171" s="107"/>
      <c r="G171" s="108">
        <f>G172</f>
        <v>204</v>
      </c>
    </row>
    <row r="172" spans="1:7" ht="15.75">
      <c r="A172" s="101" t="s">
        <v>216</v>
      </c>
      <c r="B172" s="106" t="s">
        <v>22</v>
      </c>
      <c r="C172" s="106" t="s">
        <v>202</v>
      </c>
      <c r="D172" s="106" t="s">
        <v>212</v>
      </c>
      <c r="E172" s="106"/>
      <c r="F172" s="107"/>
      <c r="G172" s="108">
        <f>G173</f>
        <v>204</v>
      </c>
    </row>
    <row r="173" spans="1:7" ht="30">
      <c r="A173" s="75" t="s">
        <v>100</v>
      </c>
      <c r="B173" s="106" t="s">
        <v>22</v>
      </c>
      <c r="C173" s="106" t="s">
        <v>202</v>
      </c>
      <c r="D173" s="106" t="s">
        <v>212</v>
      </c>
      <c r="E173" s="106" t="s">
        <v>101</v>
      </c>
      <c r="F173" s="107"/>
      <c r="G173" s="108">
        <f>G174</f>
        <v>204</v>
      </c>
    </row>
    <row r="174" spans="1:7" ht="45">
      <c r="A174" s="75" t="s">
        <v>387</v>
      </c>
      <c r="B174" s="106" t="s">
        <v>22</v>
      </c>
      <c r="C174" s="106" t="s">
        <v>202</v>
      </c>
      <c r="D174" s="106" t="s">
        <v>212</v>
      </c>
      <c r="E174" s="106" t="s">
        <v>280</v>
      </c>
      <c r="F174" s="107"/>
      <c r="G174" s="108">
        <f>G175</f>
        <v>204</v>
      </c>
    </row>
    <row r="175" spans="1:7" ht="45">
      <c r="A175" s="75" t="s">
        <v>388</v>
      </c>
      <c r="B175" s="106" t="s">
        <v>22</v>
      </c>
      <c r="C175" s="106" t="s">
        <v>202</v>
      </c>
      <c r="D175" s="106" t="s">
        <v>212</v>
      </c>
      <c r="E175" s="106" t="s">
        <v>330</v>
      </c>
      <c r="F175" s="107"/>
      <c r="G175" s="108">
        <f>G176</f>
        <v>204</v>
      </c>
    </row>
    <row r="176" spans="1:7" ht="45">
      <c r="A176" s="75" t="s">
        <v>341</v>
      </c>
      <c r="B176" s="106" t="s">
        <v>22</v>
      </c>
      <c r="C176" s="106" t="s">
        <v>202</v>
      </c>
      <c r="D176" s="106" t="s">
        <v>212</v>
      </c>
      <c r="E176" s="106" t="s">
        <v>330</v>
      </c>
      <c r="F176" s="107" t="s">
        <v>329</v>
      </c>
      <c r="G176" s="108">
        <f>9600-4000-5496+100</f>
        <v>204</v>
      </c>
    </row>
    <row r="177" spans="1:7" ht="15">
      <c r="A177" s="75" t="s">
        <v>204</v>
      </c>
      <c r="B177" s="106" t="s">
        <v>22</v>
      </c>
      <c r="C177" s="106" t="s">
        <v>205</v>
      </c>
      <c r="D177" s="106"/>
      <c r="E177" s="106"/>
      <c r="F177" s="107"/>
      <c r="G177" s="108">
        <f>G178</f>
        <v>552</v>
      </c>
    </row>
    <row r="178" spans="1:7" ht="15">
      <c r="A178" s="75" t="s">
        <v>81</v>
      </c>
      <c r="B178" s="106" t="s">
        <v>22</v>
      </c>
      <c r="C178" s="106" t="s">
        <v>205</v>
      </c>
      <c r="D178" s="106" t="s">
        <v>206</v>
      </c>
      <c r="E178" s="106"/>
      <c r="F178" s="107"/>
      <c r="G178" s="108">
        <f>G179</f>
        <v>552</v>
      </c>
    </row>
    <row r="179" spans="1:7" ht="30">
      <c r="A179" s="75" t="s">
        <v>121</v>
      </c>
      <c r="B179" s="106" t="s">
        <v>22</v>
      </c>
      <c r="C179" s="106" t="s">
        <v>205</v>
      </c>
      <c r="D179" s="106" t="s">
        <v>206</v>
      </c>
      <c r="E179" s="106" t="s">
        <v>122</v>
      </c>
      <c r="F179" s="107"/>
      <c r="G179" s="108">
        <f>G180</f>
        <v>552</v>
      </c>
    </row>
    <row r="180" spans="1:7" ht="30">
      <c r="A180" s="75" t="s">
        <v>57</v>
      </c>
      <c r="B180" s="106" t="s">
        <v>22</v>
      </c>
      <c r="C180" s="106" t="s">
        <v>205</v>
      </c>
      <c r="D180" s="106" t="s">
        <v>206</v>
      </c>
      <c r="E180" s="106" t="s">
        <v>123</v>
      </c>
      <c r="F180" s="107"/>
      <c r="G180" s="108">
        <f>G181</f>
        <v>552</v>
      </c>
    </row>
    <row r="181" spans="1:7" ht="30">
      <c r="A181" s="75" t="s">
        <v>262</v>
      </c>
      <c r="B181" s="106" t="s">
        <v>22</v>
      </c>
      <c r="C181" s="106" t="s">
        <v>205</v>
      </c>
      <c r="D181" s="106" t="s">
        <v>206</v>
      </c>
      <c r="E181" s="106" t="s">
        <v>123</v>
      </c>
      <c r="F181" s="107" t="s">
        <v>248</v>
      </c>
      <c r="G181" s="108">
        <v>552</v>
      </c>
    </row>
    <row r="182" spans="1:7" ht="42.75">
      <c r="A182" s="87" t="s">
        <v>307</v>
      </c>
      <c r="B182" s="102" t="s">
        <v>23</v>
      </c>
      <c r="C182" s="103"/>
      <c r="D182" s="103"/>
      <c r="E182" s="103"/>
      <c r="F182" s="104"/>
      <c r="G182" s="105">
        <f>G183+G196</f>
        <v>25639.7</v>
      </c>
    </row>
    <row r="183" spans="1:7" ht="15">
      <c r="A183" s="75" t="s">
        <v>35</v>
      </c>
      <c r="B183" s="106" t="s">
        <v>23</v>
      </c>
      <c r="C183" s="106" t="s">
        <v>37</v>
      </c>
      <c r="D183" s="106"/>
      <c r="E183" s="106"/>
      <c r="F183" s="107"/>
      <c r="G183" s="108">
        <f>G184+G193</f>
        <v>12504</v>
      </c>
    </row>
    <row r="184" spans="1:7" ht="45">
      <c r="A184" s="75" t="s">
        <v>116</v>
      </c>
      <c r="B184" s="106" t="s">
        <v>23</v>
      </c>
      <c r="C184" s="106" t="s">
        <v>37</v>
      </c>
      <c r="D184" s="106" t="s">
        <v>21</v>
      </c>
      <c r="E184" s="106"/>
      <c r="F184" s="107"/>
      <c r="G184" s="110">
        <f>G185</f>
        <v>12413</v>
      </c>
    </row>
    <row r="185" spans="1:7" ht="45">
      <c r="A185" s="77" t="s">
        <v>252</v>
      </c>
      <c r="B185" s="106" t="s">
        <v>23</v>
      </c>
      <c r="C185" s="106" t="s">
        <v>37</v>
      </c>
      <c r="D185" s="106" t="s">
        <v>21</v>
      </c>
      <c r="E185" s="106" t="s">
        <v>119</v>
      </c>
      <c r="F185" s="107"/>
      <c r="G185" s="110">
        <f>G186</f>
        <v>12413</v>
      </c>
    </row>
    <row r="186" spans="1:7" ht="15">
      <c r="A186" s="77" t="s">
        <v>36</v>
      </c>
      <c r="B186" s="106" t="s">
        <v>23</v>
      </c>
      <c r="C186" s="106" t="s">
        <v>37</v>
      </c>
      <c r="D186" s="106" t="s">
        <v>21</v>
      </c>
      <c r="E186" s="106" t="s">
        <v>120</v>
      </c>
      <c r="F186" s="107"/>
      <c r="G186" s="110">
        <f>SUM(G187:G192)</f>
        <v>12413</v>
      </c>
    </row>
    <row r="187" spans="1:7" ht="15">
      <c r="A187" s="86" t="s">
        <v>242</v>
      </c>
      <c r="B187" s="106" t="s">
        <v>23</v>
      </c>
      <c r="C187" s="106" t="s">
        <v>37</v>
      </c>
      <c r="D187" s="106" t="s">
        <v>21</v>
      </c>
      <c r="E187" s="106" t="s">
        <v>120</v>
      </c>
      <c r="F187" s="109" t="s">
        <v>295</v>
      </c>
      <c r="G187" s="110">
        <f>10318+142</f>
        <v>10460</v>
      </c>
    </row>
    <row r="188" spans="1:7" ht="30">
      <c r="A188" s="86" t="s">
        <v>243</v>
      </c>
      <c r="B188" s="106" t="s">
        <v>23</v>
      </c>
      <c r="C188" s="106" t="s">
        <v>37</v>
      </c>
      <c r="D188" s="106" t="s">
        <v>21</v>
      </c>
      <c r="E188" s="106" t="s">
        <v>120</v>
      </c>
      <c r="F188" s="109" t="s">
        <v>304</v>
      </c>
      <c r="G188" s="110">
        <v>12.2</v>
      </c>
    </row>
    <row r="189" spans="1:7" ht="30">
      <c r="A189" s="86" t="s">
        <v>244</v>
      </c>
      <c r="B189" s="106" t="s">
        <v>23</v>
      </c>
      <c r="C189" s="106" t="s">
        <v>37</v>
      </c>
      <c r="D189" s="106" t="s">
        <v>21</v>
      </c>
      <c r="E189" s="106" t="s">
        <v>120</v>
      </c>
      <c r="F189" s="109" t="s">
        <v>247</v>
      </c>
      <c r="G189" s="110">
        <f>1766-380</f>
        <v>1386</v>
      </c>
    </row>
    <row r="190" spans="1:7" ht="30">
      <c r="A190" s="75" t="s">
        <v>262</v>
      </c>
      <c r="B190" s="106" t="s">
        <v>23</v>
      </c>
      <c r="C190" s="106" t="s">
        <v>37</v>
      </c>
      <c r="D190" s="106" t="s">
        <v>21</v>
      </c>
      <c r="E190" s="106" t="s">
        <v>120</v>
      </c>
      <c r="F190" s="109" t="s">
        <v>248</v>
      </c>
      <c r="G190" s="110">
        <f>551.8-20</f>
        <v>531.8</v>
      </c>
    </row>
    <row r="191" spans="1:7" ht="30">
      <c r="A191" s="86" t="s">
        <v>245</v>
      </c>
      <c r="B191" s="106" t="s">
        <v>23</v>
      </c>
      <c r="C191" s="106" t="s">
        <v>37</v>
      </c>
      <c r="D191" s="106" t="s">
        <v>21</v>
      </c>
      <c r="E191" s="106" t="s">
        <v>120</v>
      </c>
      <c r="F191" s="109" t="s">
        <v>249</v>
      </c>
      <c r="G191" s="110">
        <v>17.2</v>
      </c>
    </row>
    <row r="192" spans="1:7" ht="30">
      <c r="A192" s="86" t="s">
        <v>246</v>
      </c>
      <c r="B192" s="106" t="s">
        <v>23</v>
      </c>
      <c r="C192" s="106" t="s">
        <v>37</v>
      </c>
      <c r="D192" s="106" t="s">
        <v>21</v>
      </c>
      <c r="E192" s="106" t="s">
        <v>120</v>
      </c>
      <c r="F192" s="109" t="s">
        <v>250</v>
      </c>
      <c r="G192" s="110">
        <v>5.8</v>
      </c>
    </row>
    <row r="193" spans="1:7" ht="15">
      <c r="A193" s="96" t="s">
        <v>46</v>
      </c>
      <c r="B193" s="106" t="s">
        <v>23</v>
      </c>
      <c r="C193" s="106" t="s">
        <v>37</v>
      </c>
      <c r="D193" s="106" t="s">
        <v>211</v>
      </c>
      <c r="E193" s="111"/>
      <c r="F193" s="109"/>
      <c r="G193" s="110">
        <f>G194</f>
        <v>91</v>
      </c>
    </row>
    <row r="194" spans="1:7" ht="15">
      <c r="A194" s="140" t="s">
        <v>511</v>
      </c>
      <c r="B194" s="106" t="s">
        <v>23</v>
      </c>
      <c r="C194" s="106" t="s">
        <v>37</v>
      </c>
      <c r="D194" s="106" t="s">
        <v>211</v>
      </c>
      <c r="E194" s="111" t="s">
        <v>470</v>
      </c>
      <c r="F194" s="109"/>
      <c r="G194" s="110">
        <f>G195</f>
        <v>91</v>
      </c>
    </row>
    <row r="195" spans="1:7" ht="105">
      <c r="A195" s="75" t="s">
        <v>471</v>
      </c>
      <c r="B195" s="106" t="s">
        <v>23</v>
      </c>
      <c r="C195" s="106" t="s">
        <v>37</v>
      </c>
      <c r="D195" s="106" t="s">
        <v>211</v>
      </c>
      <c r="E195" s="111" t="s">
        <v>470</v>
      </c>
      <c r="F195" s="109" t="s">
        <v>472</v>
      </c>
      <c r="G195" s="110">
        <v>91</v>
      </c>
    </row>
    <row r="196" spans="1:7" ht="30">
      <c r="A196" s="77" t="s">
        <v>240</v>
      </c>
      <c r="B196" s="106" t="s">
        <v>23</v>
      </c>
      <c r="C196" s="106" t="s">
        <v>209</v>
      </c>
      <c r="D196" s="106" t="s">
        <v>210</v>
      </c>
      <c r="E196" s="106"/>
      <c r="F196" s="107"/>
      <c r="G196" s="110">
        <f>G197</f>
        <v>13135.7</v>
      </c>
    </row>
    <row r="197" spans="1:7" ht="30">
      <c r="A197" s="77" t="s">
        <v>109</v>
      </c>
      <c r="B197" s="106" t="s">
        <v>23</v>
      </c>
      <c r="C197" s="106" t="s">
        <v>209</v>
      </c>
      <c r="D197" s="106" t="s">
        <v>210</v>
      </c>
      <c r="E197" s="106" t="s">
        <v>44</v>
      </c>
      <c r="F197" s="107"/>
      <c r="G197" s="110">
        <f>G198</f>
        <v>13135.7</v>
      </c>
    </row>
    <row r="198" spans="1:7" ht="15">
      <c r="A198" s="75" t="s">
        <v>83</v>
      </c>
      <c r="B198" s="106" t="s">
        <v>23</v>
      </c>
      <c r="C198" s="106" t="s">
        <v>209</v>
      </c>
      <c r="D198" s="106" t="s">
        <v>210</v>
      </c>
      <c r="E198" s="106" t="s">
        <v>125</v>
      </c>
      <c r="F198" s="107"/>
      <c r="G198" s="110">
        <f>G199</f>
        <v>13135.7</v>
      </c>
    </row>
    <row r="199" spans="1:7" ht="15">
      <c r="A199" s="97" t="s">
        <v>3</v>
      </c>
      <c r="B199" s="106" t="s">
        <v>23</v>
      </c>
      <c r="C199" s="106" t="s">
        <v>209</v>
      </c>
      <c r="D199" s="106" t="s">
        <v>210</v>
      </c>
      <c r="E199" s="106" t="s">
        <v>125</v>
      </c>
      <c r="F199" s="107" t="s">
        <v>301</v>
      </c>
      <c r="G199" s="110">
        <f>7133+588.7+5414</f>
        <v>13135.7</v>
      </c>
    </row>
    <row r="200" spans="1:7" ht="42.75">
      <c r="A200" s="87" t="s">
        <v>309</v>
      </c>
      <c r="B200" s="102" t="s">
        <v>24</v>
      </c>
      <c r="C200" s="103"/>
      <c r="D200" s="103"/>
      <c r="E200" s="103"/>
      <c r="F200" s="104"/>
      <c r="G200" s="116">
        <f>G201+G216</f>
        <v>26315.1</v>
      </c>
    </row>
    <row r="201" spans="1:7" ht="15">
      <c r="A201" s="75" t="s">
        <v>35</v>
      </c>
      <c r="B201" s="106" t="s">
        <v>24</v>
      </c>
      <c r="C201" s="106" t="s">
        <v>37</v>
      </c>
      <c r="D201" s="106"/>
      <c r="E201" s="106"/>
      <c r="F201" s="107"/>
      <c r="G201" s="110">
        <f>G202</f>
        <v>13550</v>
      </c>
    </row>
    <row r="202" spans="1:7" ht="15">
      <c r="A202" s="75" t="s">
        <v>46</v>
      </c>
      <c r="B202" s="106" t="s">
        <v>24</v>
      </c>
      <c r="C202" s="106" t="s">
        <v>37</v>
      </c>
      <c r="D202" s="106" t="s">
        <v>211</v>
      </c>
      <c r="E202" s="106"/>
      <c r="F202" s="107"/>
      <c r="G202" s="110">
        <f>G204+G211+G214</f>
        <v>13550</v>
      </c>
    </row>
    <row r="203" spans="1:7" ht="45">
      <c r="A203" s="77" t="s">
        <v>252</v>
      </c>
      <c r="B203" s="106" t="s">
        <v>24</v>
      </c>
      <c r="C203" s="106" t="s">
        <v>37</v>
      </c>
      <c r="D203" s="106" t="s">
        <v>211</v>
      </c>
      <c r="E203" s="106" t="s">
        <v>119</v>
      </c>
      <c r="F203" s="107"/>
      <c r="G203" s="110">
        <f>G204</f>
        <v>12092</v>
      </c>
    </row>
    <row r="204" spans="1:7" ht="15">
      <c r="A204" s="77" t="s">
        <v>36</v>
      </c>
      <c r="B204" s="106" t="s">
        <v>24</v>
      </c>
      <c r="C204" s="106" t="s">
        <v>37</v>
      </c>
      <c r="D204" s="106" t="s">
        <v>211</v>
      </c>
      <c r="E204" s="106" t="s">
        <v>120</v>
      </c>
      <c r="F204" s="107"/>
      <c r="G204" s="110">
        <f>SUM(G205:G210)</f>
        <v>12092</v>
      </c>
    </row>
    <row r="205" spans="1:7" ht="15">
      <c r="A205" s="86" t="s">
        <v>242</v>
      </c>
      <c r="B205" s="106" t="s">
        <v>24</v>
      </c>
      <c r="C205" s="106" t="s">
        <v>37</v>
      </c>
      <c r="D205" s="106" t="s">
        <v>211</v>
      </c>
      <c r="E205" s="106" t="s">
        <v>120</v>
      </c>
      <c r="F205" s="109" t="s">
        <v>295</v>
      </c>
      <c r="G205" s="110">
        <f>11026+314</f>
        <v>11340</v>
      </c>
    </row>
    <row r="206" spans="1:7" ht="30">
      <c r="A206" s="86" t="s">
        <v>243</v>
      </c>
      <c r="B206" s="106" t="s">
        <v>24</v>
      </c>
      <c r="C206" s="106" t="s">
        <v>37</v>
      </c>
      <c r="D206" s="106" t="s">
        <v>211</v>
      </c>
      <c r="E206" s="106" t="s">
        <v>120</v>
      </c>
      <c r="F206" s="109" t="s">
        <v>304</v>
      </c>
      <c r="G206" s="110">
        <v>25</v>
      </c>
    </row>
    <row r="207" spans="1:7" ht="30">
      <c r="A207" s="89" t="s">
        <v>244</v>
      </c>
      <c r="B207" s="106" t="s">
        <v>24</v>
      </c>
      <c r="C207" s="106" t="s">
        <v>37</v>
      </c>
      <c r="D207" s="106" t="s">
        <v>211</v>
      </c>
      <c r="E207" s="106" t="s">
        <v>120</v>
      </c>
      <c r="F207" s="109" t="s">
        <v>247</v>
      </c>
      <c r="G207" s="110">
        <f>520-140-85</f>
        <v>295</v>
      </c>
    </row>
    <row r="208" spans="1:7" ht="30">
      <c r="A208" s="75" t="s">
        <v>262</v>
      </c>
      <c r="B208" s="106" t="s">
        <v>24</v>
      </c>
      <c r="C208" s="106" t="s">
        <v>37</v>
      </c>
      <c r="D208" s="106" t="s">
        <v>211</v>
      </c>
      <c r="E208" s="106" t="s">
        <v>120</v>
      </c>
      <c r="F208" s="109" t="s">
        <v>248</v>
      </c>
      <c r="G208" s="110">
        <f>325+75</f>
        <v>400</v>
      </c>
    </row>
    <row r="209" spans="1:7" ht="30">
      <c r="A209" s="86" t="s">
        <v>245</v>
      </c>
      <c r="B209" s="106" t="s">
        <v>24</v>
      </c>
      <c r="C209" s="106" t="s">
        <v>37</v>
      </c>
      <c r="D209" s="106" t="s">
        <v>211</v>
      </c>
      <c r="E209" s="106" t="s">
        <v>120</v>
      </c>
      <c r="F209" s="109" t="s">
        <v>249</v>
      </c>
      <c r="G209" s="110">
        <v>10</v>
      </c>
    </row>
    <row r="210" spans="1:7" ht="30">
      <c r="A210" s="86" t="s">
        <v>246</v>
      </c>
      <c r="B210" s="106" t="s">
        <v>24</v>
      </c>
      <c r="C210" s="106" t="s">
        <v>37</v>
      </c>
      <c r="D210" s="106" t="s">
        <v>211</v>
      </c>
      <c r="E210" s="106" t="s">
        <v>120</v>
      </c>
      <c r="F210" s="109" t="s">
        <v>250</v>
      </c>
      <c r="G210" s="110">
        <f>12+10</f>
        <v>22</v>
      </c>
    </row>
    <row r="211" spans="1:7" ht="45">
      <c r="A211" s="77" t="s">
        <v>4</v>
      </c>
      <c r="B211" s="106" t="s">
        <v>24</v>
      </c>
      <c r="C211" s="106" t="s">
        <v>37</v>
      </c>
      <c r="D211" s="106" t="s">
        <v>211</v>
      </c>
      <c r="E211" s="106" t="s">
        <v>5</v>
      </c>
      <c r="F211" s="107"/>
      <c r="G211" s="110">
        <f>G212</f>
        <v>1354</v>
      </c>
    </row>
    <row r="212" spans="1:7" ht="45">
      <c r="A212" s="75" t="s">
        <v>6</v>
      </c>
      <c r="B212" s="106" t="s">
        <v>24</v>
      </c>
      <c r="C212" s="106" t="s">
        <v>37</v>
      </c>
      <c r="D212" s="106" t="s">
        <v>211</v>
      </c>
      <c r="E212" s="106" t="s">
        <v>7</v>
      </c>
      <c r="F212" s="107"/>
      <c r="G212" s="110">
        <f>G213</f>
        <v>1354</v>
      </c>
    </row>
    <row r="213" spans="1:7" ht="30">
      <c r="A213" s="75" t="s">
        <v>262</v>
      </c>
      <c r="B213" s="106" t="s">
        <v>24</v>
      </c>
      <c r="C213" s="106" t="s">
        <v>37</v>
      </c>
      <c r="D213" s="106" t="s">
        <v>211</v>
      </c>
      <c r="E213" s="106" t="s">
        <v>7</v>
      </c>
      <c r="F213" s="107" t="s">
        <v>248</v>
      </c>
      <c r="G213" s="110">
        <f>2018-104-560</f>
        <v>1354</v>
      </c>
    </row>
    <row r="214" spans="1:7" ht="15">
      <c r="A214" s="140" t="s">
        <v>511</v>
      </c>
      <c r="B214" s="106" t="s">
        <v>24</v>
      </c>
      <c r="C214" s="106" t="s">
        <v>37</v>
      </c>
      <c r="D214" s="106" t="s">
        <v>211</v>
      </c>
      <c r="E214" s="111" t="s">
        <v>470</v>
      </c>
      <c r="F214" s="109"/>
      <c r="G214" s="110">
        <v>104</v>
      </c>
    </row>
    <row r="215" spans="1:7" ht="105">
      <c r="A215" s="75" t="s">
        <v>471</v>
      </c>
      <c r="B215" s="106" t="s">
        <v>24</v>
      </c>
      <c r="C215" s="106" t="s">
        <v>37</v>
      </c>
      <c r="D215" s="106" t="s">
        <v>211</v>
      </c>
      <c r="E215" s="111" t="s">
        <v>470</v>
      </c>
      <c r="F215" s="109" t="s">
        <v>472</v>
      </c>
      <c r="G215" s="110">
        <v>104</v>
      </c>
    </row>
    <row r="216" spans="1:7" ht="15">
      <c r="A216" s="75" t="s">
        <v>25</v>
      </c>
      <c r="B216" s="106" t="s">
        <v>24</v>
      </c>
      <c r="C216" s="106" t="s">
        <v>71</v>
      </c>
      <c r="D216" s="106"/>
      <c r="E216" s="106"/>
      <c r="F216" s="107"/>
      <c r="G216" s="110">
        <f>G224+G217</f>
        <v>12765.1</v>
      </c>
    </row>
    <row r="217" spans="1:7" ht="15">
      <c r="A217" s="75" t="s">
        <v>74</v>
      </c>
      <c r="B217" s="106" t="s">
        <v>24</v>
      </c>
      <c r="C217" s="106" t="s">
        <v>71</v>
      </c>
      <c r="D217" s="106" t="s">
        <v>75</v>
      </c>
      <c r="E217" s="106"/>
      <c r="F217" s="107"/>
      <c r="G217" s="110">
        <f>G218+G220+G222</f>
        <v>10214.2</v>
      </c>
    </row>
    <row r="218" spans="1:7" ht="30">
      <c r="A218" s="143" t="s">
        <v>519</v>
      </c>
      <c r="B218" s="106" t="s">
        <v>24</v>
      </c>
      <c r="C218" s="106" t="s">
        <v>71</v>
      </c>
      <c r="D218" s="106" t="s">
        <v>75</v>
      </c>
      <c r="E218" s="106" t="s">
        <v>520</v>
      </c>
      <c r="F218" s="107"/>
      <c r="G218" s="110">
        <f>G219</f>
        <v>4098</v>
      </c>
    </row>
    <row r="219" spans="1:7" ht="15">
      <c r="A219" s="143" t="s">
        <v>521</v>
      </c>
      <c r="B219" s="106" t="s">
        <v>24</v>
      </c>
      <c r="C219" s="106" t="s">
        <v>71</v>
      </c>
      <c r="D219" s="106" t="s">
        <v>75</v>
      </c>
      <c r="E219" s="106" t="s">
        <v>520</v>
      </c>
      <c r="F219" s="107" t="s">
        <v>297</v>
      </c>
      <c r="G219" s="110">
        <v>4098</v>
      </c>
    </row>
    <row r="220" spans="1:7" ht="30">
      <c r="A220" s="75" t="s">
        <v>522</v>
      </c>
      <c r="B220" s="106" t="s">
        <v>24</v>
      </c>
      <c r="C220" s="106" t="s">
        <v>71</v>
      </c>
      <c r="D220" s="106" t="s">
        <v>75</v>
      </c>
      <c r="E220" s="106" t="s">
        <v>523</v>
      </c>
      <c r="F220" s="107"/>
      <c r="G220" s="110">
        <f>G221</f>
        <v>5116.2</v>
      </c>
    </row>
    <row r="221" spans="1:7" ht="15">
      <c r="A221" s="77" t="s">
        <v>300</v>
      </c>
      <c r="B221" s="106" t="s">
        <v>24</v>
      </c>
      <c r="C221" s="106" t="s">
        <v>71</v>
      </c>
      <c r="D221" s="106" t="s">
        <v>75</v>
      </c>
      <c r="E221" s="106" t="s">
        <v>523</v>
      </c>
      <c r="F221" s="107" t="s">
        <v>297</v>
      </c>
      <c r="G221" s="110">
        <v>5116.2</v>
      </c>
    </row>
    <row r="222" spans="1:7" ht="30">
      <c r="A222" s="75" t="s">
        <v>296</v>
      </c>
      <c r="B222" s="106" t="s">
        <v>24</v>
      </c>
      <c r="C222" s="106" t="s">
        <v>71</v>
      </c>
      <c r="D222" s="106" t="s">
        <v>75</v>
      </c>
      <c r="E222" s="106" t="s">
        <v>354</v>
      </c>
      <c r="F222" s="107"/>
      <c r="G222" s="110">
        <f>G223</f>
        <v>1000</v>
      </c>
    </row>
    <row r="223" spans="1:7" ht="15">
      <c r="A223" s="77" t="s">
        <v>300</v>
      </c>
      <c r="B223" s="106" t="s">
        <v>24</v>
      </c>
      <c r="C223" s="106" t="s">
        <v>71</v>
      </c>
      <c r="D223" s="106" t="s">
        <v>75</v>
      </c>
      <c r="E223" s="106" t="s">
        <v>354</v>
      </c>
      <c r="F223" s="107" t="s">
        <v>297</v>
      </c>
      <c r="G223" s="110">
        <v>1000</v>
      </c>
    </row>
    <row r="224" spans="1:7" ht="15">
      <c r="A224" s="75" t="s">
        <v>118</v>
      </c>
      <c r="B224" s="106" t="s">
        <v>24</v>
      </c>
      <c r="C224" s="106" t="s">
        <v>71</v>
      </c>
      <c r="D224" s="106" t="s">
        <v>77</v>
      </c>
      <c r="E224" s="106"/>
      <c r="F224" s="107"/>
      <c r="G224" s="110">
        <f>G228+G226</f>
        <v>2550.9</v>
      </c>
    </row>
    <row r="225" spans="1:7" ht="60">
      <c r="A225" s="75" t="s">
        <v>555</v>
      </c>
      <c r="B225" s="106" t="s">
        <v>24</v>
      </c>
      <c r="C225" s="106" t="s">
        <v>71</v>
      </c>
      <c r="D225" s="106" t="s">
        <v>77</v>
      </c>
      <c r="E225" s="106" t="s">
        <v>505</v>
      </c>
      <c r="F225" s="107"/>
      <c r="G225" s="110">
        <f>G226</f>
        <v>1494.9</v>
      </c>
    </row>
    <row r="226" spans="1:7" ht="90">
      <c r="A226" s="75" t="s">
        <v>571</v>
      </c>
      <c r="B226" s="106" t="s">
        <v>24</v>
      </c>
      <c r="C226" s="106" t="s">
        <v>71</v>
      </c>
      <c r="D226" s="106" t="s">
        <v>77</v>
      </c>
      <c r="E226" s="106" t="s">
        <v>504</v>
      </c>
      <c r="F226" s="107"/>
      <c r="G226" s="110">
        <f>G227</f>
        <v>1494.9</v>
      </c>
    </row>
    <row r="227" spans="1:7" ht="30">
      <c r="A227" s="75" t="s">
        <v>262</v>
      </c>
      <c r="B227" s="106" t="s">
        <v>24</v>
      </c>
      <c r="C227" s="106" t="s">
        <v>71</v>
      </c>
      <c r="D227" s="106" t="s">
        <v>77</v>
      </c>
      <c r="E227" s="106" t="s">
        <v>504</v>
      </c>
      <c r="F227" s="107" t="s">
        <v>248</v>
      </c>
      <c r="G227" s="110">
        <v>1494.9</v>
      </c>
    </row>
    <row r="228" spans="1:7" ht="90">
      <c r="A228" s="75" t="s">
        <v>572</v>
      </c>
      <c r="B228" s="106" t="s">
        <v>24</v>
      </c>
      <c r="C228" s="106" t="s">
        <v>71</v>
      </c>
      <c r="D228" s="106" t="s">
        <v>77</v>
      </c>
      <c r="E228" s="106" t="s">
        <v>276</v>
      </c>
      <c r="F228" s="107"/>
      <c r="G228" s="110">
        <f>G229</f>
        <v>1056</v>
      </c>
    </row>
    <row r="229" spans="1:7" ht="30">
      <c r="A229" s="75" t="s">
        <v>262</v>
      </c>
      <c r="B229" s="106" t="s">
        <v>24</v>
      </c>
      <c r="C229" s="106" t="s">
        <v>71</v>
      </c>
      <c r="D229" s="106" t="s">
        <v>77</v>
      </c>
      <c r="E229" s="106" t="s">
        <v>276</v>
      </c>
      <c r="F229" s="107" t="s">
        <v>248</v>
      </c>
      <c r="G229" s="110">
        <v>1056</v>
      </c>
    </row>
    <row r="230" spans="1:7" ht="28.5">
      <c r="A230" s="19" t="s">
        <v>317</v>
      </c>
      <c r="B230" s="102" t="s">
        <v>157</v>
      </c>
      <c r="C230" s="117"/>
      <c r="D230" s="117"/>
      <c r="E230" s="117"/>
      <c r="F230" s="118"/>
      <c r="G230" s="105">
        <f>G231</f>
        <v>3132</v>
      </c>
    </row>
    <row r="231" spans="1:7" ht="15">
      <c r="A231" s="75" t="s">
        <v>35</v>
      </c>
      <c r="B231" s="103" t="s">
        <v>157</v>
      </c>
      <c r="C231" s="106" t="s">
        <v>37</v>
      </c>
      <c r="D231" s="106"/>
      <c r="E231" s="106"/>
      <c r="F231" s="107"/>
      <c r="G231" s="108">
        <f>G232</f>
        <v>3132</v>
      </c>
    </row>
    <row r="232" spans="1:7" ht="45">
      <c r="A232" s="75" t="s">
        <v>116</v>
      </c>
      <c r="B232" s="106" t="s">
        <v>157</v>
      </c>
      <c r="C232" s="106" t="s">
        <v>37</v>
      </c>
      <c r="D232" s="106" t="s">
        <v>21</v>
      </c>
      <c r="E232" s="106"/>
      <c r="F232" s="107"/>
      <c r="G232" s="110">
        <f>G233</f>
        <v>3132</v>
      </c>
    </row>
    <row r="233" spans="1:7" ht="45">
      <c r="A233" s="77" t="s">
        <v>252</v>
      </c>
      <c r="B233" s="106" t="s">
        <v>157</v>
      </c>
      <c r="C233" s="106" t="s">
        <v>37</v>
      </c>
      <c r="D233" s="106" t="s">
        <v>21</v>
      </c>
      <c r="E233" s="106" t="s">
        <v>119</v>
      </c>
      <c r="F233" s="107"/>
      <c r="G233" s="110">
        <f>G234+G241</f>
        <v>3132</v>
      </c>
    </row>
    <row r="234" spans="1:7" ht="15">
      <c r="A234" s="77" t="s">
        <v>36</v>
      </c>
      <c r="B234" s="106" t="s">
        <v>157</v>
      </c>
      <c r="C234" s="106" t="s">
        <v>37</v>
      </c>
      <c r="D234" s="106" t="s">
        <v>21</v>
      </c>
      <c r="E234" s="106" t="s">
        <v>120</v>
      </c>
      <c r="F234" s="107"/>
      <c r="G234" s="110">
        <f>SUM(G235:G240)</f>
        <v>1205.8</v>
      </c>
    </row>
    <row r="235" spans="1:7" ht="15">
      <c r="A235" s="86" t="s">
        <v>242</v>
      </c>
      <c r="B235" s="106" t="s">
        <v>157</v>
      </c>
      <c r="C235" s="106" t="s">
        <v>37</v>
      </c>
      <c r="D235" s="106" t="s">
        <v>21</v>
      </c>
      <c r="E235" s="106" t="s">
        <v>120</v>
      </c>
      <c r="F235" s="109" t="s">
        <v>295</v>
      </c>
      <c r="G235" s="110">
        <f>1032+14-294.2</f>
        <v>751.8</v>
      </c>
    </row>
    <row r="236" spans="1:7" ht="30">
      <c r="A236" s="86" t="s">
        <v>243</v>
      </c>
      <c r="B236" s="106" t="s">
        <v>157</v>
      </c>
      <c r="C236" s="106" t="s">
        <v>37</v>
      </c>
      <c r="D236" s="106" t="s">
        <v>21</v>
      </c>
      <c r="E236" s="106" t="s">
        <v>120</v>
      </c>
      <c r="F236" s="109" t="s">
        <v>304</v>
      </c>
      <c r="G236" s="110">
        <f>13-7</f>
        <v>6</v>
      </c>
    </row>
    <row r="237" spans="1:7" ht="30">
      <c r="A237" s="86" t="s">
        <v>244</v>
      </c>
      <c r="B237" s="106" t="s">
        <v>157</v>
      </c>
      <c r="C237" s="106" t="s">
        <v>37</v>
      </c>
      <c r="D237" s="106" t="s">
        <v>21</v>
      </c>
      <c r="E237" s="106" t="s">
        <v>120</v>
      </c>
      <c r="F237" s="109" t="s">
        <v>247</v>
      </c>
      <c r="G237" s="110">
        <f>228+38.9</f>
        <v>266.9</v>
      </c>
    </row>
    <row r="238" spans="1:7" ht="30">
      <c r="A238" s="75" t="s">
        <v>262</v>
      </c>
      <c r="B238" s="106" t="s">
        <v>157</v>
      </c>
      <c r="C238" s="106" t="s">
        <v>37</v>
      </c>
      <c r="D238" s="106" t="s">
        <v>21</v>
      </c>
      <c r="E238" s="106" t="s">
        <v>120</v>
      </c>
      <c r="F238" s="109" t="s">
        <v>248</v>
      </c>
      <c r="G238" s="110">
        <f>216-1-58.4</f>
        <v>156.6</v>
      </c>
    </row>
    <row r="239" spans="1:7" ht="30">
      <c r="A239" s="86" t="s">
        <v>245</v>
      </c>
      <c r="B239" s="106" t="s">
        <v>157</v>
      </c>
      <c r="C239" s="106" t="s">
        <v>37</v>
      </c>
      <c r="D239" s="106" t="s">
        <v>21</v>
      </c>
      <c r="E239" s="106" t="s">
        <v>120</v>
      </c>
      <c r="F239" s="109" t="s">
        <v>249</v>
      </c>
      <c r="G239" s="110">
        <f>2-1.5</f>
        <v>0.5</v>
      </c>
    </row>
    <row r="240" spans="1:7" ht="30">
      <c r="A240" s="86" t="s">
        <v>246</v>
      </c>
      <c r="B240" s="106" t="s">
        <v>157</v>
      </c>
      <c r="C240" s="106" t="s">
        <v>37</v>
      </c>
      <c r="D240" s="106" t="s">
        <v>21</v>
      </c>
      <c r="E240" s="106" t="s">
        <v>120</v>
      </c>
      <c r="F240" s="109" t="s">
        <v>250</v>
      </c>
      <c r="G240" s="110">
        <f>14+10</f>
        <v>24</v>
      </c>
    </row>
    <row r="241" spans="1:7" ht="30">
      <c r="A241" s="75" t="s">
        <v>150</v>
      </c>
      <c r="B241" s="106" t="s">
        <v>157</v>
      </c>
      <c r="C241" s="106" t="s">
        <v>37</v>
      </c>
      <c r="D241" s="106" t="s">
        <v>21</v>
      </c>
      <c r="E241" s="106" t="s">
        <v>156</v>
      </c>
      <c r="F241" s="107"/>
      <c r="G241" s="108">
        <f>G242</f>
        <v>1926.2</v>
      </c>
    </row>
    <row r="242" spans="1:7" ht="15">
      <c r="A242" s="86" t="s">
        <v>242</v>
      </c>
      <c r="B242" s="106" t="s">
        <v>157</v>
      </c>
      <c r="C242" s="106" t="s">
        <v>37</v>
      </c>
      <c r="D242" s="106" t="s">
        <v>21</v>
      </c>
      <c r="E242" s="106" t="s">
        <v>156</v>
      </c>
      <c r="F242" s="107" t="s">
        <v>295</v>
      </c>
      <c r="G242" s="108">
        <f>1533+21+372.2</f>
        <v>1926.2</v>
      </c>
    </row>
    <row r="243" spans="1:7" ht="42.75">
      <c r="A243" s="19" t="s">
        <v>310</v>
      </c>
      <c r="B243" s="102" t="s">
        <v>147</v>
      </c>
      <c r="C243" s="112"/>
      <c r="D243" s="112"/>
      <c r="E243" s="111"/>
      <c r="F243" s="107"/>
      <c r="G243" s="105">
        <f>G244+G265+G338+G343+G353</f>
        <v>1375606.1</v>
      </c>
    </row>
    <row r="244" spans="1:7" ht="15">
      <c r="A244" s="75" t="s">
        <v>79</v>
      </c>
      <c r="B244" s="106" t="s">
        <v>147</v>
      </c>
      <c r="C244" s="106" t="s">
        <v>47</v>
      </c>
      <c r="D244" s="106"/>
      <c r="E244" s="106"/>
      <c r="F244" s="107"/>
      <c r="G244" s="108">
        <f>G245+G251</f>
        <v>119624.8</v>
      </c>
    </row>
    <row r="245" spans="1:7" ht="15">
      <c r="A245" s="75" t="s">
        <v>322</v>
      </c>
      <c r="B245" s="106" t="s">
        <v>147</v>
      </c>
      <c r="C245" s="106" t="s">
        <v>47</v>
      </c>
      <c r="D245" s="106" t="s">
        <v>323</v>
      </c>
      <c r="E245" s="106"/>
      <c r="F245" s="107"/>
      <c r="G245" s="108">
        <f>G246+G249</f>
        <v>28893.3</v>
      </c>
    </row>
    <row r="246" spans="1:7" ht="30">
      <c r="A246" s="89" t="s">
        <v>361</v>
      </c>
      <c r="B246" s="106" t="s">
        <v>147</v>
      </c>
      <c r="C246" s="106" t="s">
        <v>47</v>
      </c>
      <c r="D246" s="106" t="s">
        <v>323</v>
      </c>
      <c r="E246" s="106" t="s">
        <v>355</v>
      </c>
      <c r="F246" s="107"/>
      <c r="G246" s="108">
        <f>G247+G248</f>
        <v>28640.8</v>
      </c>
    </row>
    <row r="247" spans="1:7" ht="60">
      <c r="A247" s="86" t="s">
        <v>14</v>
      </c>
      <c r="B247" s="106" t="s">
        <v>147</v>
      </c>
      <c r="C247" s="106" t="s">
        <v>47</v>
      </c>
      <c r="D247" s="106" t="s">
        <v>323</v>
      </c>
      <c r="E247" s="106" t="s">
        <v>355</v>
      </c>
      <c r="F247" s="107" t="s">
        <v>11</v>
      </c>
      <c r="G247" s="108">
        <v>18234.3</v>
      </c>
    </row>
    <row r="248" spans="1:7" ht="29.25" customHeight="1">
      <c r="A248" s="86" t="s">
        <v>13</v>
      </c>
      <c r="B248" s="106" t="s">
        <v>147</v>
      </c>
      <c r="C248" s="106" t="s">
        <v>47</v>
      </c>
      <c r="D248" s="106" t="s">
        <v>323</v>
      </c>
      <c r="E248" s="106" t="s">
        <v>355</v>
      </c>
      <c r="F248" s="107" t="s">
        <v>12</v>
      </c>
      <c r="G248" s="108">
        <v>10406.5</v>
      </c>
    </row>
    <row r="249" spans="1:7" ht="45.75" customHeight="1">
      <c r="A249" s="86" t="s">
        <v>486</v>
      </c>
      <c r="B249" s="106" t="s">
        <v>147</v>
      </c>
      <c r="C249" s="106" t="s">
        <v>47</v>
      </c>
      <c r="D249" s="106" t="s">
        <v>323</v>
      </c>
      <c r="E249" s="106" t="s">
        <v>476</v>
      </c>
      <c r="F249" s="107"/>
      <c r="G249" s="108">
        <f>G250</f>
        <v>252.5</v>
      </c>
    </row>
    <row r="250" spans="1:7" ht="21" customHeight="1">
      <c r="A250" s="86" t="s">
        <v>13</v>
      </c>
      <c r="B250" s="106" t="s">
        <v>147</v>
      </c>
      <c r="C250" s="106" t="s">
        <v>47</v>
      </c>
      <c r="D250" s="106" t="s">
        <v>323</v>
      </c>
      <c r="E250" s="106" t="s">
        <v>475</v>
      </c>
      <c r="F250" s="107" t="s">
        <v>12</v>
      </c>
      <c r="G250" s="108">
        <v>252.5</v>
      </c>
    </row>
    <row r="251" spans="1:7" ht="15">
      <c r="A251" s="89" t="s">
        <v>225</v>
      </c>
      <c r="B251" s="112" t="s">
        <v>147</v>
      </c>
      <c r="C251" s="112" t="s">
        <v>47</v>
      </c>
      <c r="D251" s="112" t="s">
        <v>142</v>
      </c>
      <c r="E251" s="106"/>
      <c r="F251" s="120"/>
      <c r="G251" s="108">
        <f>G256+G252+G262+G254</f>
        <v>90731.5</v>
      </c>
    </row>
    <row r="252" spans="1:7" ht="15">
      <c r="A252" s="89" t="s">
        <v>229</v>
      </c>
      <c r="B252" s="112" t="s">
        <v>147</v>
      </c>
      <c r="C252" s="112" t="s">
        <v>47</v>
      </c>
      <c r="D252" s="112" t="s">
        <v>142</v>
      </c>
      <c r="E252" s="106" t="s">
        <v>287</v>
      </c>
      <c r="F252" s="120"/>
      <c r="G252" s="108">
        <f>G253</f>
        <v>2429</v>
      </c>
    </row>
    <row r="253" spans="1:7" ht="60">
      <c r="A253" s="89" t="s">
        <v>302</v>
      </c>
      <c r="B253" s="112" t="s">
        <v>147</v>
      </c>
      <c r="C253" s="112" t="s">
        <v>47</v>
      </c>
      <c r="D253" s="112" t="s">
        <v>142</v>
      </c>
      <c r="E253" s="106" t="s">
        <v>287</v>
      </c>
      <c r="F253" s="120" t="s">
        <v>9</v>
      </c>
      <c r="G253" s="108">
        <v>2429</v>
      </c>
    </row>
    <row r="254" spans="1:7" ht="45">
      <c r="A254" s="89" t="s">
        <v>513</v>
      </c>
      <c r="B254" s="112" t="s">
        <v>147</v>
      </c>
      <c r="C254" s="112" t="s">
        <v>47</v>
      </c>
      <c r="D254" s="112" t="s">
        <v>142</v>
      </c>
      <c r="E254" s="106" t="s">
        <v>512</v>
      </c>
      <c r="F254" s="120"/>
      <c r="G254" s="108">
        <f>G255</f>
        <v>65662.7</v>
      </c>
    </row>
    <row r="255" spans="1:7" ht="30">
      <c r="A255" s="89" t="s">
        <v>262</v>
      </c>
      <c r="B255" s="112" t="s">
        <v>147</v>
      </c>
      <c r="C255" s="112" t="s">
        <v>47</v>
      </c>
      <c r="D255" s="112" t="s">
        <v>142</v>
      </c>
      <c r="E255" s="106" t="s">
        <v>512</v>
      </c>
      <c r="F255" s="120" t="s">
        <v>248</v>
      </c>
      <c r="G255" s="108">
        <v>65662.7</v>
      </c>
    </row>
    <row r="256" spans="1:7" ht="30">
      <c r="A256" s="75" t="s">
        <v>100</v>
      </c>
      <c r="B256" s="106" t="s">
        <v>147</v>
      </c>
      <c r="C256" s="112" t="s">
        <v>47</v>
      </c>
      <c r="D256" s="112" t="s">
        <v>142</v>
      </c>
      <c r="E256" s="106" t="s">
        <v>101</v>
      </c>
      <c r="F256" s="107"/>
      <c r="G256" s="108">
        <f>G257+G260</f>
        <v>10117.3</v>
      </c>
    </row>
    <row r="257" spans="1:7" ht="30">
      <c r="A257" s="75" t="s">
        <v>381</v>
      </c>
      <c r="B257" s="106" t="s">
        <v>147</v>
      </c>
      <c r="C257" s="112" t="s">
        <v>47</v>
      </c>
      <c r="D257" s="112" t="s">
        <v>142</v>
      </c>
      <c r="E257" s="106" t="s">
        <v>298</v>
      </c>
      <c r="F257" s="107"/>
      <c r="G257" s="108">
        <f>G258+G259</f>
        <v>9637.8</v>
      </c>
    </row>
    <row r="258" spans="1:7" ht="30">
      <c r="A258" s="89" t="s">
        <v>262</v>
      </c>
      <c r="B258" s="106" t="s">
        <v>147</v>
      </c>
      <c r="C258" s="112" t="s">
        <v>47</v>
      </c>
      <c r="D258" s="112" t="s">
        <v>142</v>
      </c>
      <c r="E258" s="106" t="s">
        <v>298</v>
      </c>
      <c r="F258" s="107" t="s">
        <v>248</v>
      </c>
      <c r="G258" s="108">
        <v>9532.4</v>
      </c>
    </row>
    <row r="259" spans="1:7" ht="23.25" customHeight="1">
      <c r="A259" s="86" t="s">
        <v>13</v>
      </c>
      <c r="B259" s="106" t="s">
        <v>147</v>
      </c>
      <c r="C259" s="112" t="s">
        <v>47</v>
      </c>
      <c r="D259" s="112" t="s">
        <v>142</v>
      </c>
      <c r="E259" s="106" t="s">
        <v>298</v>
      </c>
      <c r="F259" s="107" t="s">
        <v>12</v>
      </c>
      <c r="G259" s="108">
        <v>105.4</v>
      </c>
    </row>
    <row r="260" spans="1:7" ht="35.25" customHeight="1">
      <c r="A260" s="75" t="s">
        <v>375</v>
      </c>
      <c r="B260" s="106" t="s">
        <v>147</v>
      </c>
      <c r="C260" s="112" t="s">
        <v>47</v>
      </c>
      <c r="D260" s="112" t="s">
        <v>142</v>
      </c>
      <c r="E260" s="106" t="s">
        <v>369</v>
      </c>
      <c r="F260" s="107"/>
      <c r="G260" s="108">
        <f>G261</f>
        <v>479.5</v>
      </c>
    </row>
    <row r="261" spans="1:7" ht="30">
      <c r="A261" s="89" t="s">
        <v>262</v>
      </c>
      <c r="B261" s="106" t="s">
        <v>147</v>
      </c>
      <c r="C261" s="112" t="s">
        <v>47</v>
      </c>
      <c r="D261" s="112" t="s">
        <v>142</v>
      </c>
      <c r="E261" s="106" t="s">
        <v>369</v>
      </c>
      <c r="F261" s="107" t="s">
        <v>248</v>
      </c>
      <c r="G261" s="108">
        <v>479.5</v>
      </c>
    </row>
    <row r="262" spans="1:7" ht="45">
      <c r="A262" s="89" t="s">
        <v>436</v>
      </c>
      <c r="B262" s="106" t="s">
        <v>147</v>
      </c>
      <c r="C262" s="112" t="s">
        <v>47</v>
      </c>
      <c r="D262" s="112" t="s">
        <v>142</v>
      </c>
      <c r="E262" s="106" t="s">
        <v>435</v>
      </c>
      <c r="F262" s="107"/>
      <c r="G262" s="108">
        <f>G263</f>
        <v>12522.5</v>
      </c>
    </row>
    <row r="263" spans="1:7" ht="42" customHeight="1">
      <c r="A263" s="75" t="s">
        <v>485</v>
      </c>
      <c r="B263" s="106" t="s">
        <v>147</v>
      </c>
      <c r="C263" s="112" t="s">
        <v>47</v>
      </c>
      <c r="D263" s="112" t="s">
        <v>142</v>
      </c>
      <c r="E263" s="106" t="s">
        <v>427</v>
      </c>
      <c r="F263" s="107"/>
      <c r="G263" s="108">
        <f>G264</f>
        <v>12522.5</v>
      </c>
    </row>
    <row r="264" spans="1:7" ht="30">
      <c r="A264" s="89" t="s">
        <v>262</v>
      </c>
      <c r="B264" s="106" t="s">
        <v>147</v>
      </c>
      <c r="C264" s="112" t="s">
        <v>47</v>
      </c>
      <c r="D264" s="112" t="s">
        <v>142</v>
      </c>
      <c r="E264" s="106" t="s">
        <v>427</v>
      </c>
      <c r="F264" s="107" t="s">
        <v>248</v>
      </c>
      <c r="G264" s="108">
        <v>12522.5</v>
      </c>
    </row>
    <row r="265" spans="1:7" ht="15">
      <c r="A265" s="75" t="s">
        <v>27</v>
      </c>
      <c r="B265" s="106" t="s">
        <v>147</v>
      </c>
      <c r="C265" s="106" t="s">
        <v>78</v>
      </c>
      <c r="D265" s="106"/>
      <c r="E265" s="106"/>
      <c r="F265" s="107"/>
      <c r="G265" s="108">
        <f>G266+G295+G314+G285</f>
        <v>1244916.1</v>
      </c>
    </row>
    <row r="266" spans="1:7" ht="15">
      <c r="A266" s="75" t="s">
        <v>97</v>
      </c>
      <c r="B266" s="106" t="s">
        <v>147</v>
      </c>
      <c r="C266" s="106" t="s">
        <v>78</v>
      </c>
      <c r="D266" s="106" t="s">
        <v>98</v>
      </c>
      <c r="E266" s="106"/>
      <c r="F266" s="107"/>
      <c r="G266" s="108">
        <f>G267+G269+G271+G274+G279+G282</f>
        <v>686423.9</v>
      </c>
    </row>
    <row r="267" spans="1:7" ht="105">
      <c r="A267" s="141" t="s">
        <v>497</v>
      </c>
      <c r="B267" s="106" t="s">
        <v>147</v>
      </c>
      <c r="C267" s="106" t="s">
        <v>78</v>
      </c>
      <c r="D267" s="106" t="s">
        <v>98</v>
      </c>
      <c r="E267" s="106" t="s">
        <v>498</v>
      </c>
      <c r="F267" s="106"/>
      <c r="G267" s="108">
        <f>G268</f>
        <v>679647.3</v>
      </c>
    </row>
    <row r="268" spans="1:7" ht="36.75" customHeight="1">
      <c r="A268" s="75" t="s">
        <v>341</v>
      </c>
      <c r="B268" s="106" t="s">
        <v>147</v>
      </c>
      <c r="C268" s="106" t="s">
        <v>78</v>
      </c>
      <c r="D268" s="106" t="s">
        <v>98</v>
      </c>
      <c r="E268" s="106" t="s">
        <v>498</v>
      </c>
      <c r="F268" s="106" t="s">
        <v>329</v>
      </c>
      <c r="G268" s="108">
        <v>679647.3</v>
      </c>
    </row>
    <row r="269" spans="1:7" ht="75">
      <c r="A269" s="141" t="s">
        <v>499</v>
      </c>
      <c r="B269" s="106" t="s">
        <v>147</v>
      </c>
      <c r="C269" s="106" t="s">
        <v>78</v>
      </c>
      <c r="D269" s="106" t="s">
        <v>98</v>
      </c>
      <c r="E269" s="106" t="s">
        <v>500</v>
      </c>
      <c r="F269" s="106"/>
      <c r="G269" s="108">
        <f>G270</f>
        <v>0.5</v>
      </c>
    </row>
    <row r="270" spans="1:7" ht="33.75" customHeight="1">
      <c r="A270" s="75" t="s">
        <v>341</v>
      </c>
      <c r="B270" s="106" t="s">
        <v>147</v>
      </c>
      <c r="C270" s="106" t="s">
        <v>78</v>
      </c>
      <c r="D270" s="106" t="s">
        <v>98</v>
      </c>
      <c r="E270" s="106" t="s">
        <v>500</v>
      </c>
      <c r="F270" s="106" t="s">
        <v>329</v>
      </c>
      <c r="G270" s="108">
        <v>0.5</v>
      </c>
    </row>
    <row r="271" spans="1:7" ht="15">
      <c r="A271" s="75" t="s">
        <v>195</v>
      </c>
      <c r="B271" s="106" t="s">
        <v>147</v>
      </c>
      <c r="C271" s="106" t="s">
        <v>78</v>
      </c>
      <c r="D271" s="106" t="s">
        <v>98</v>
      </c>
      <c r="E271" s="106" t="s">
        <v>194</v>
      </c>
      <c r="F271" s="107"/>
      <c r="G271" s="108">
        <f>G272</f>
        <v>37</v>
      </c>
    </row>
    <row r="272" spans="1:7" ht="30">
      <c r="A272" s="75" t="s">
        <v>320</v>
      </c>
      <c r="B272" s="106" t="s">
        <v>147</v>
      </c>
      <c r="C272" s="106" t="s">
        <v>78</v>
      </c>
      <c r="D272" s="106" t="s">
        <v>98</v>
      </c>
      <c r="E272" s="106" t="s">
        <v>196</v>
      </c>
      <c r="F272" s="107"/>
      <c r="G272" s="108">
        <f>G273</f>
        <v>37</v>
      </c>
    </row>
    <row r="273" spans="1:7" ht="30">
      <c r="A273" s="89" t="s">
        <v>262</v>
      </c>
      <c r="B273" s="106" t="s">
        <v>147</v>
      </c>
      <c r="C273" s="106" t="s">
        <v>78</v>
      </c>
      <c r="D273" s="106" t="s">
        <v>98</v>
      </c>
      <c r="E273" s="106" t="s">
        <v>196</v>
      </c>
      <c r="F273" s="107" t="s">
        <v>248</v>
      </c>
      <c r="G273" s="108">
        <v>37</v>
      </c>
    </row>
    <row r="274" spans="1:7" ht="30">
      <c r="A274" s="75" t="s">
        <v>100</v>
      </c>
      <c r="B274" s="106" t="s">
        <v>147</v>
      </c>
      <c r="C274" s="106" t="s">
        <v>78</v>
      </c>
      <c r="D274" s="106" t="s">
        <v>98</v>
      </c>
      <c r="E274" s="106" t="s">
        <v>101</v>
      </c>
      <c r="F274" s="107"/>
      <c r="G274" s="108">
        <f>G275+G277</f>
        <v>1745.8</v>
      </c>
    </row>
    <row r="275" spans="1:7" ht="45">
      <c r="A275" s="75" t="s">
        <v>383</v>
      </c>
      <c r="B275" s="106" t="s">
        <v>147</v>
      </c>
      <c r="C275" s="106" t="s">
        <v>78</v>
      </c>
      <c r="D275" s="106" t="s">
        <v>98</v>
      </c>
      <c r="E275" s="106" t="s">
        <v>175</v>
      </c>
      <c r="F275" s="107"/>
      <c r="G275" s="108">
        <f>G276</f>
        <v>1555.9</v>
      </c>
    </row>
    <row r="276" spans="1:7" ht="30">
      <c r="A276" s="89" t="s">
        <v>262</v>
      </c>
      <c r="B276" s="106" t="s">
        <v>147</v>
      </c>
      <c r="C276" s="106" t="s">
        <v>78</v>
      </c>
      <c r="D276" s="106" t="s">
        <v>98</v>
      </c>
      <c r="E276" s="106" t="s">
        <v>175</v>
      </c>
      <c r="F276" s="107" t="s">
        <v>248</v>
      </c>
      <c r="G276" s="108">
        <v>1555.9</v>
      </c>
    </row>
    <row r="277" spans="1:7" ht="45">
      <c r="A277" s="75" t="s">
        <v>382</v>
      </c>
      <c r="B277" s="106" t="s">
        <v>147</v>
      </c>
      <c r="C277" s="106" t="s">
        <v>78</v>
      </c>
      <c r="D277" s="106" t="s">
        <v>98</v>
      </c>
      <c r="E277" s="106" t="s">
        <v>176</v>
      </c>
      <c r="F277" s="107"/>
      <c r="G277" s="108">
        <f>G278</f>
        <v>189.9</v>
      </c>
    </row>
    <row r="278" spans="1:7" ht="30">
      <c r="A278" s="89" t="s">
        <v>262</v>
      </c>
      <c r="B278" s="106" t="s">
        <v>147</v>
      </c>
      <c r="C278" s="106" t="s">
        <v>78</v>
      </c>
      <c r="D278" s="106" t="s">
        <v>98</v>
      </c>
      <c r="E278" s="106" t="s">
        <v>176</v>
      </c>
      <c r="F278" s="107" t="s">
        <v>248</v>
      </c>
      <c r="G278" s="108">
        <v>189.9</v>
      </c>
    </row>
    <row r="279" spans="1:7" ht="30">
      <c r="A279" s="75" t="s">
        <v>231</v>
      </c>
      <c r="B279" s="106" t="s">
        <v>147</v>
      </c>
      <c r="C279" s="106" t="s">
        <v>78</v>
      </c>
      <c r="D279" s="106" t="s">
        <v>98</v>
      </c>
      <c r="E279" s="106" t="s">
        <v>232</v>
      </c>
      <c r="F279" s="107"/>
      <c r="G279" s="108">
        <f>G280</f>
        <v>4496.7</v>
      </c>
    </row>
    <row r="280" spans="1:7" ht="45">
      <c r="A280" s="98" t="s">
        <v>299</v>
      </c>
      <c r="B280" s="113" t="s">
        <v>147</v>
      </c>
      <c r="C280" s="113" t="s">
        <v>78</v>
      </c>
      <c r="D280" s="113" t="s">
        <v>98</v>
      </c>
      <c r="E280" s="113" t="s">
        <v>288</v>
      </c>
      <c r="F280" s="114"/>
      <c r="G280" s="115">
        <f>G281</f>
        <v>4496.7</v>
      </c>
    </row>
    <row r="281" spans="1:7" ht="54.75" customHeight="1">
      <c r="A281" s="89" t="s">
        <v>356</v>
      </c>
      <c r="B281" s="113" t="s">
        <v>147</v>
      </c>
      <c r="C281" s="113" t="s">
        <v>78</v>
      </c>
      <c r="D281" s="113" t="s">
        <v>98</v>
      </c>
      <c r="E281" s="113" t="s">
        <v>288</v>
      </c>
      <c r="F281" s="114" t="s">
        <v>292</v>
      </c>
      <c r="G281" s="115">
        <v>4496.7</v>
      </c>
    </row>
    <row r="282" spans="1:7" ht="54.75" customHeight="1">
      <c r="A282" s="89" t="s">
        <v>436</v>
      </c>
      <c r="B282" s="113" t="s">
        <v>147</v>
      </c>
      <c r="C282" s="113" t="s">
        <v>78</v>
      </c>
      <c r="D282" s="113" t="s">
        <v>98</v>
      </c>
      <c r="E282" s="113" t="s">
        <v>435</v>
      </c>
      <c r="F282" s="114"/>
      <c r="G282" s="115">
        <f>G283</f>
        <v>496.6</v>
      </c>
    </row>
    <row r="283" spans="1:7" ht="60">
      <c r="A283" s="75" t="s">
        <v>487</v>
      </c>
      <c r="B283" s="113" t="s">
        <v>147</v>
      </c>
      <c r="C283" s="113" t="s">
        <v>78</v>
      </c>
      <c r="D283" s="113" t="s">
        <v>98</v>
      </c>
      <c r="E283" s="113" t="s">
        <v>477</v>
      </c>
      <c r="F283" s="114"/>
      <c r="G283" s="115">
        <f>G284</f>
        <v>496.6</v>
      </c>
    </row>
    <row r="284" spans="1:7" ht="30">
      <c r="A284" s="89" t="s">
        <v>262</v>
      </c>
      <c r="B284" s="113" t="s">
        <v>147</v>
      </c>
      <c r="C284" s="113" t="s">
        <v>78</v>
      </c>
      <c r="D284" s="113" t="s">
        <v>98</v>
      </c>
      <c r="E284" s="113" t="s">
        <v>477</v>
      </c>
      <c r="F284" s="114" t="s">
        <v>248</v>
      </c>
      <c r="G284" s="115">
        <v>496.6</v>
      </c>
    </row>
    <row r="285" spans="1:7" ht="15">
      <c r="A285" s="89" t="s">
        <v>289</v>
      </c>
      <c r="B285" s="106" t="s">
        <v>147</v>
      </c>
      <c r="C285" s="106" t="s">
        <v>78</v>
      </c>
      <c r="D285" s="106" t="s">
        <v>290</v>
      </c>
      <c r="E285" s="106"/>
      <c r="F285" s="107"/>
      <c r="G285" s="108">
        <f>G286+G291+G288+G293</f>
        <v>469125.4</v>
      </c>
    </row>
    <row r="286" spans="1:7" ht="45">
      <c r="A286" s="89" t="s">
        <v>291</v>
      </c>
      <c r="B286" s="106" t="s">
        <v>147</v>
      </c>
      <c r="C286" s="106" t="s">
        <v>78</v>
      </c>
      <c r="D286" s="106" t="s">
        <v>290</v>
      </c>
      <c r="E286" s="106" t="s">
        <v>324</v>
      </c>
      <c r="F286" s="107"/>
      <c r="G286" s="108">
        <f>G287</f>
        <v>1694.6</v>
      </c>
    </row>
    <row r="287" spans="1:7" ht="45">
      <c r="A287" s="89" t="s">
        <v>303</v>
      </c>
      <c r="B287" s="106" t="s">
        <v>147</v>
      </c>
      <c r="C287" s="106" t="s">
        <v>78</v>
      </c>
      <c r="D287" s="106" t="s">
        <v>290</v>
      </c>
      <c r="E287" s="106" t="s">
        <v>324</v>
      </c>
      <c r="F287" s="107" t="s">
        <v>292</v>
      </c>
      <c r="G287" s="108">
        <v>1694.6</v>
      </c>
    </row>
    <row r="288" spans="1:7" ht="60">
      <c r="A288" s="89" t="s">
        <v>508</v>
      </c>
      <c r="B288" s="106" t="s">
        <v>147</v>
      </c>
      <c r="C288" s="106" t="s">
        <v>78</v>
      </c>
      <c r="D288" s="106" t="s">
        <v>290</v>
      </c>
      <c r="E288" s="106" t="s">
        <v>503</v>
      </c>
      <c r="F288" s="107"/>
      <c r="G288" s="108">
        <f>G289</f>
        <v>76940</v>
      </c>
    </row>
    <row r="289" spans="1:7" ht="45">
      <c r="A289" s="89" t="s">
        <v>303</v>
      </c>
      <c r="B289" s="106" t="s">
        <v>147</v>
      </c>
      <c r="C289" s="106" t="s">
        <v>78</v>
      </c>
      <c r="D289" s="106" t="s">
        <v>290</v>
      </c>
      <c r="E289" s="106" t="s">
        <v>503</v>
      </c>
      <c r="F289" s="107" t="s">
        <v>292</v>
      </c>
      <c r="G289" s="108">
        <v>76940</v>
      </c>
    </row>
    <row r="290" spans="1:7" ht="45" customHeight="1">
      <c r="A290" s="89" t="s">
        <v>551</v>
      </c>
      <c r="B290" s="106" t="s">
        <v>147</v>
      </c>
      <c r="C290" s="106" t="s">
        <v>78</v>
      </c>
      <c r="D290" s="106" t="s">
        <v>290</v>
      </c>
      <c r="E290" s="106" t="s">
        <v>550</v>
      </c>
      <c r="F290" s="107"/>
      <c r="G290" s="108">
        <f>G291+G293</f>
        <v>390490.8</v>
      </c>
    </row>
    <row r="291" spans="1:7" ht="30">
      <c r="A291" s="89" t="s">
        <v>548</v>
      </c>
      <c r="B291" s="106" t="s">
        <v>147</v>
      </c>
      <c r="C291" s="106" t="s">
        <v>78</v>
      </c>
      <c r="D291" s="106" t="s">
        <v>290</v>
      </c>
      <c r="E291" s="106" t="s">
        <v>549</v>
      </c>
      <c r="F291" s="107"/>
      <c r="G291" s="108">
        <f>G292</f>
        <v>35166</v>
      </c>
    </row>
    <row r="292" spans="1:7" ht="30">
      <c r="A292" s="89" t="s">
        <v>262</v>
      </c>
      <c r="B292" s="106" t="s">
        <v>147</v>
      </c>
      <c r="C292" s="106" t="s">
        <v>78</v>
      </c>
      <c r="D292" s="106" t="s">
        <v>290</v>
      </c>
      <c r="E292" s="106" t="s">
        <v>549</v>
      </c>
      <c r="F292" s="107" t="s">
        <v>248</v>
      </c>
      <c r="G292" s="108">
        <v>35166</v>
      </c>
    </row>
    <row r="293" spans="1:7" ht="30">
      <c r="A293" s="89" t="s">
        <v>501</v>
      </c>
      <c r="B293" s="106" t="s">
        <v>147</v>
      </c>
      <c r="C293" s="106" t="s">
        <v>78</v>
      </c>
      <c r="D293" s="106" t="s">
        <v>290</v>
      </c>
      <c r="E293" s="106" t="s">
        <v>502</v>
      </c>
      <c r="F293" s="107"/>
      <c r="G293" s="108">
        <f>G294</f>
        <v>355324.8</v>
      </c>
    </row>
    <row r="294" spans="1:7" ht="45">
      <c r="A294" s="89" t="s">
        <v>303</v>
      </c>
      <c r="B294" s="106" t="s">
        <v>147</v>
      </c>
      <c r="C294" s="106" t="s">
        <v>78</v>
      </c>
      <c r="D294" s="106" t="s">
        <v>290</v>
      </c>
      <c r="E294" s="106" t="s">
        <v>502</v>
      </c>
      <c r="F294" s="107" t="s">
        <v>292</v>
      </c>
      <c r="G294" s="108">
        <v>355324.8</v>
      </c>
    </row>
    <row r="295" spans="1:7" ht="15">
      <c r="A295" s="75" t="s">
        <v>103</v>
      </c>
      <c r="B295" s="106" t="s">
        <v>147</v>
      </c>
      <c r="C295" s="106" t="s">
        <v>78</v>
      </c>
      <c r="D295" s="106" t="s">
        <v>135</v>
      </c>
      <c r="E295" s="106"/>
      <c r="F295" s="107"/>
      <c r="G295" s="108">
        <f>G296+G308+G311</f>
        <v>58881.4</v>
      </c>
    </row>
    <row r="296" spans="1:7" ht="30">
      <c r="A296" s="75" t="s">
        <v>351</v>
      </c>
      <c r="B296" s="106" t="s">
        <v>147</v>
      </c>
      <c r="C296" s="106" t="s">
        <v>78</v>
      </c>
      <c r="D296" s="106" t="s">
        <v>135</v>
      </c>
      <c r="E296" s="106" t="s">
        <v>325</v>
      </c>
      <c r="F296" s="107"/>
      <c r="G296" s="108">
        <f>G297+G301+G303+G306</f>
        <v>56585.3</v>
      </c>
    </row>
    <row r="297" spans="1:7" ht="15">
      <c r="A297" s="75" t="s">
        <v>104</v>
      </c>
      <c r="B297" s="106" t="s">
        <v>147</v>
      </c>
      <c r="C297" s="106" t="s">
        <v>78</v>
      </c>
      <c r="D297" s="106" t="s">
        <v>135</v>
      </c>
      <c r="E297" s="106" t="s">
        <v>326</v>
      </c>
      <c r="F297" s="107"/>
      <c r="G297" s="108">
        <f>G298+G300+G299</f>
        <v>12678.4</v>
      </c>
    </row>
    <row r="298" spans="1:7" ht="30">
      <c r="A298" s="89" t="s">
        <v>262</v>
      </c>
      <c r="B298" s="106" t="s">
        <v>147</v>
      </c>
      <c r="C298" s="106" t="s">
        <v>78</v>
      </c>
      <c r="D298" s="106" t="s">
        <v>135</v>
      </c>
      <c r="E298" s="106" t="s">
        <v>326</v>
      </c>
      <c r="F298" s="107" t="s">
        <v>248</v>
      </c>
      <c r="G298" s="108">
        <v>6929.8</v>
      </c>
    </row>
    <row r="299" spans="1:7" ht="60">
      <c r="A299" s="89" t="s">
        <v>302</v>
      </c>
      <c r="B299" s="106" t="s">
        <v>147</v>
      </c>
      <c r="C299" s="106" t="s">
        <v>78</v>
      </c>
      <c r="D299" s="106" t="s">
        <v>135</v>
      </c>
      <c r="E299" s="106" t="s">
        <v>326</v>
      </c>
      <c r="F299" s="107" t="s">
        <v>9</v>
      </c>
      <c r="G299" s="108">
        <v>777.1</v>
      </c>
    </row>
    <row r="300" spans="1:7" ht="45">
      <c r="A300" s="89" t="s">
        <v>356</v>
      </c>
      <c r="B300" s="106" t="s">
        <v>147</v>
      </c>
      <c r="C300" s="106" t="s">
        <v>78</v>
      </c>
      <c r="D300" s="106" t="s">
        <v>135</v>
      </c>
      <c r="E300" s="106" t="s">
        <v>326</v>
      </c>
      <c r="F300" s="107" t="s">
        <v>292</v>
      </c>
      <c r="G300" s="108">
        <v>4971.5</v>
      </c>
    </row>
    <row r="301" spans="1:7" ht="15">
      <c r="A301" s="75" t="s">
        <v>105</v>
      </c>
      <c r="B301" s="106" t="s">
        <v>147</v>
      </c>
      <c r="C301" s="106" t="s">
        <v>78</v>
      </c>
      <c r="D301" s="106" t="s">
        <v>135</v>
      </c>
      <c r="E301" s="106" t="s">
        <v>327</v>
      </c>
      <c r="F301" s="107"/>
      <c r="G301" s="108">
        <f>G302</f>
        <v>2538.5</v>
      </c>
    </row>
    <row r="302" spans="1:7" ht="60">
      <c r="A302" s="89" t="s">
        <v>302</v>
      </c>
      <c r="B302" s="106" t="s">
        <v>147</v>
      </c>
      <c r="C302" s="106" t="s">
        <v>78</v>
      </c>
      <c r="D302" s="106" t="s">
        <v>135</v>
      </c>
      <c r="E302" s="106" t="s">
        <v>327</v>
      </c>
      <c r="F302" s="107" t="s">
        <v>9</v>
      </c>
      <c r="G302" s="108">
        <v>2538.5</v>
      </c>
    </row>
    <row r="303" spans="1:7" ht="30">
      <c r="A303" s="77" t="s">
        <v>350</v>
      </c>
      <c r="B303" s="106" t="s">
        <v>147</v>
      </c>
      <c r="C303" s="106" t="s">
        <v>78</v>
      </c>
      <c r="D303" s="106" t="s">
        <v>135</v>
      </c>
      <c r="E303" s="106" t="s">
        <v>328</v>
      </c>
      <c r="F303" s="107"/>
      <c r="G303" s="108">
        <f>G305+G304</f>
        <v>38043.9</v>
      </c>
    </row>
    <row r="304" spans="1:7" ht="30">
      <c r="A304" s="89" t="s">
        <v>262</v>
      </c>
      <c r="B304" s="106" t="s">
        <v>147</v>
      </c>
      <c r="C304" s="106" t="s">
        <v>78</v>
      </c>
      <c r="D304" s="106" t="s">
        <v>135</v>
      </c>
      <c r="E304" s="106" t="s">
        <v>328</v>
      </c>
      <c r="F304" s="107" t="s">
        <v>248</v>
      </c>
      <c r="G304" s="108">
        <v>157.5</v>
      </c>
    </row>
    <row r="305" spans="1:7" ht="60">
      <c r="A305" s="89" t="s">
        <v>302</v>
      </c>
      <c r="B305" s="106" t="s">
        <v>147</v>
      </c>
      <c r="C305" s="106" t="s">
        <v>78</v>
      </c>
      <c r="D305" s="106" t="s">
        <v>135</v>
      </c>
      <c r="E305" s="106" t="s">
        <v>328</v>
      </c>
      <c r="F305" s="107" t="s">
        <v>9</v>
      </c>
      <c r="G305" s="108">
        <v>37886.4</v>
      </c>
    </row>
    <row r="306" spans="1:7" ht="45">
      <c r="A306" s="89" t="s">
        <v>488</v>
      </c>
      <c r="B306" s="106" t="s">
        <v>147</v>
      </c>
      <c r="C306" s="106" t="s">
        <v>78</v>
      </c>
      <c r="D306" s="106" t="s">
        <v>135</v>
      </c>
      <c r="E306" s="106" t="s">
        <v>478</v>
      </c>
      <c r="F306" s="107"/>
      <c r="G306" s="108">
        <f>G307</f>
        <v>3324.5</v>
      </c>
    </row>
    <row r="307" spans="1:7" ht="25.5" customHeight="1">
      <c r="A307" s="86" t="s">
        <v>8</v>
      </c>
      <c r="B307" s="106" t="s">
        <v>147</v>
      </c>
      <c r="C307" s="106" t="s">
        <v>78</v>
      </c>
      <c r="D307" s="106" t="s">
        <v>135</v>
      </c>
      <c r="E307" s="106" t="s">
        <v>478</v>
      </c>
      <c r="F307" s="107" t="s">
        <v>10</v>
      </c>
      <c r="G307" s="108">
        <v>3324.5</v>
      </c>
    </row>
    <row r="308" spans="1:7" ht="30">
      <c r="A308" s="75" t="s">
        <v>100</v>
      </c>
      <c r="B308" s="106" t="s">
        <v>147</v>
      </c>
      <c r="C308" s="106" t="s">
        <v>78</v>
      </c>
      <c r="D308" s="106" t="s">
        <v>135</v>
      </c>
      <c r="E308" s="106" t="s">
        <v>101</v>
      </c>
      <c r="F308" s="107"/>
      <c r="G308" s="108">
        <f>G309</f>
        <v>1409.3</v>
      </c>
    </row>
    <row r="309" spans="1:7" ht="30">
      <c r="A309" s="75" t="s">
        <v>293</v>
      </c>
      <c r="B309" s="106" t="s">
        <v>147</v>
      </c>
      <c r="C309" s="106" t="s">
        <v>78</v>
      </c>
      <c r="D309" s="106" t="s">
        <v>135</v>
      </c>
      <c r="E309" s="106" t="s">
        <v>294</v>
      </c>
      <c r="F309" s="107"/>
      <c r="G309" s="108">
        <f>G310</f>
        <v>1409.3</v>
      </c>
    </row>
    <row r="310" spans="1:7" ht="30">
      <c r="A310" s="89" t="s">
        <v>262</v>
      </c>
      <c r="B310" s="106" t="s">
        <v>147</v>
      </c>
      <c r="C310" s="106" t="s">
        <v>78</v>
      </c>
      <c r="D310" s="106" t="s">
        <v>135</v>
      </c>
      <c r="E310" s="106" t="s">
        <v>294</v>
      </c>
      <c r="F310" s="107" t="s">
        <v>248</v>
      </c>
      <c r="G310" s="108">
        <v>1409.3</v>
      </c>
    </row>
    <row r="311" spans="1:7" ht="45">
      <c r="A311" s="89" t="s">
        <v>479</v>
      </c>
      <c r="B311" s="106" t="s">
        <v>147</v>
      </c>
      <c r="C311" s="106" t="s">
        <v>78</v>
      </c>
      <c r="D311" s="106" t="s">
        <v>135</v>
      </c>
      <c r="E311" s="106" t="s">
        <v>435</v>
      </c>
      <c r="F311" s="107"/>
      <c r="G311" s="108">
        <f>G312</f>
        <v>886.8</v>
      </c>
    </row>
    <row r="312" spans="1:7" ht="45">
      <c r="A312" s="75" t="s">
        <v>556</v>
      </c>
      <c r="B312" s="106" t="s">
        <v>147</v>
      </c>
      <c r="C312" s="106" t="s">
        <v>78</v>
      </c>
      <c r="D312" s="106" t="s">
        <v>135</v>
      </c>
      <c r="E312" s="106" t="s">
        <v>480</v>
      </c>
      <c r="F312" s="107"/>
      <c r="G312" s="108">
        <f>G313</f>
        <v>886.8</v>
      </c>
    </row>
    <row r="313" spans="1:7" ht="30">
      <c r="A313" s="89" t="s">
        <v>262</v>
      </c>
      <c r="B313" s="106" t="s">
        <v>147</v>
      </c>
      <c r="C313" s="106" t="s">
        <v>78</v>
      </c>
      <c r="D313" s="106" t="s">
        <v>135</v>
      </c>
      <c r="E313" s="106" t="s">
        <v>480</v>
      </c>
      <c r="F313" s="107" t="s">
        <v>248</v>
      </c>
      <c r="G313" s="108">
        <v>886.8</v>
      </c>
    </row>
    <row r="314" spans="1:7" ht="30">
      <c r="A314" s="75" t="s">
        <v>99</v>
      </c>
      <c r="B314" s="106" t="s">
        <v>147</v>
      </c>
      <c r="C314" s="106" t="s">
        <v>78</v>
      </c>
      <c r="D314" s="106" t="s">
        <v>138</v>
      </c>
      <c r="E314" s="106"/>
      <c r="F314" s="107"/>
      <c r="G314" s="108">
        <f>G327+G315+G324+G331</f>
        <v>30485.4</v>
      </c>
    </row>
    <row r="315" spans="1:7" ht="45">
      <c r="A315" s="77" t="s">
        <v>252</v>
      </c>
      <c r="B315" s="106" t="s">
        <v>147</v>
      </c>
      <c r="C315" s="106" t="s">
        <v>78</v>
      </c>
      <c r="D315" s="106" t="s">
        <v>138</v>
      </c>
      <c r="E315" s="106" t="s">
        <v>119</v>
      </c>
      <c r="F315" s="107"/>
      <c r="G315" s="108">
        <f>G316</f>
        <v>9896.6</v>
      </c>
    </row>
    <row r="316" spans="1:7" ht="15">
      <c r="A316" s="77" t="s">
        <v>36</v>
      </c>
      <c r="B316" s="106" t="s">
        <v>147</v>
      </c>
      <c r="C316" s="106" t="s">
        <v>78</v>
      </c>
      <c r="D316" s="106" t="s">
        <v>138</v>
      </c>
      <c r="E316" s="106" t="s">
        <v>120</v>
      </c>
      <c r="F316" s="107"/>
      <c r="G316" s="108">
        <f>G317+G318+G319+G320+G322+G323+G321</f>
        <v>9896.6</v>
      </c>
    </row>
    <row r="317" spans="1:7" ht="15">
      <c r="A317" s="86" t="s">
        <v>242</v>
      </c>
      <c r="B317" s="106" t="s">
        <v>147</v>
      </c>
      <c r="C317" s="106" t="s">
        <v>78</v>
      </c>
      <c r="D317" s="106" t="s">
        <v>138</v>
      </c>
      <c r="E317" s="106" t="s">
        <v>120</v>
      </c>
      <c r="F317" s="109" t="s">
        <v>295</v>
      </c>
      <c r="G317" s="108">
        <v>8752.8</v>
      </c>
    </row>
    <row r="318" spans="1:7" ht="30">
      <c r="A318" s="86" t="s">
        <v>243</v>
      </c>
      <c r="B318" s="106" t="s">
        <v>147</v>
      </c>
      <c r="C318" s="106" t="s">
        <v>78</v>
      </c>
      <c r="D318" s="106" t="s">
        <v>138</v>
      </c>
      <c r="E318" s="106" t="s">
        <v>120</v>
      </c>
      <c r="F318" s="109" t="s">
        <v>304</v>
      </c>
      <c r="G318" s="108">
        <v>4.8</v>
      </c>
    </row>
    <row r="319" spans="1:7" ht="30">
      <c r="A319" s="86" t="s">
        <v>244</v>
      </c>
      <c r="B319" s="106" t="s">
        <v>147</v>
      </c>
      <c r="C319" s="106" t="s">
        <v>78</v>
      </c>
      <c r="D319" s="106" t="s">
        <v>138</v>
      </c>
      <c r="E319" s="106" t="s">
        <v>120</v>
      </c>
      <c r="F319" s="109" t="s">
        <v>247</v>
      </c>
      <c r="G319" s="108">
        <v>280.9</v>
      </c>
    </row>
    <row r="320" spans="1:7" ht="30">
      <c r="A320" s="89" t="s">
        <v>262</v>
      </c>
      <c r="B320" s="106" t="s">
        <v>147</v>
      </c>
      <c r="C320" s="106" t="s">
        <v>78</v>
      </c>
      <c r="D320" s="106" t="s">
        <v>138</v>
      </c>
      <c r="E320" s="106" t="s">
        <v>120</v>
      </c>
      <c r="F320" s="109" t="s">
        <v>248</v>
      </c>
      <c r="G320" s="108">
        <v>803.1</v>
      </c>
    </row>
    <row r="321" spans="1:7" ht="105">
      <c r="A321" s="75" t="s">
        <v>471</v>
      </c>
      <c r="B321" s="106" t="s">
        <v>147</v>
      </c>
      <c r="C321" s="106" t="s">
        <v>78</v>
      </c>
      <c r="D321" s="106" t="s">
        <v>138</v>
      </c>
      <c r="E321" s="106" t="s">
        <v>120</v>
      </c>
      <c r="F321" s="109" t="s">
        <v>472</v>
      </c>
      <c r="G321" s="108">
        <v>5</v>
      </c>
    </row>
    <row r="322" spans="1:7" ht="30">
      <c r="A322" s="86" t="s">
        <v>245</v>
      </c>
      <c r="B322" s="106" t="s">
        <v>147</v>
      </c>
      <c r="C322" s="106" t="s">
        <v>78</v>
      </c>
      <c r="D322" s="106" t="s">
        <v>138</v>
      </c>
      <c r="E322" s="106" t="s">
        <v>120</v>
      </c>
      <c r="F322" s="109" t="s">
        <v>249</v>
      </c>
      <c r="G322" s="108">
        <v>0</v>
      </c>
    </row>
    <row r="323" spans="1:7" ht="30">
      <c r="A323" s="86" t="s">
        <v>246</v>
      </c>
      <c r="B323" s="106" t="s">
        <v>147</v>
      </c>
      <c r="C323" s="106" t="s">
        <v>78</v>
      </c>
      <c r="D323" s="106" t="s">
        <v>138</v>
      </c>
      <c r="E323" s="106" t="s">
        <v>120</v>
      </c>
      <c r="F323" s="109" t="s">
        <v>250</v>
      </c>
      <c r="G323" s="108">
        <v>50</v>
      </c>
    </row>
    <row r="324" spans="1:7" ht="18.75" customHeight="1">
      <c r="A324" s="140" t="s">
        <v>511</v>
      </c>
      <c r="B324" s="106" t="s">
        <v>147</v>
      </c>
      <c r="C324" s="106" t="s">
        <v>78</v>
      </c>
      <c r="D324" s="106" t="s">
        <v>138</v>
      </c>
      <c r="E324" s="111" t="s">
        <v>470</v>
      </c>
      <c r="F324" s="109"/>
      <c r="G324" s="108">
        <f>G326+G325</f>
        <v>1465.9</v>
      </c>
    </row>
    <row r="325" spans="1:7" ht="37.5" customHeight="1">
      <c r="A325" s="89" t="s">
        <v>262</v>
      </c>
      <c r="B325" s="106" t="s">
        <v>147</v>
      </c>
      <c r="C325" s="106" t="s">
        <v>78</v>
      </c>
      <c r="D325" s="106" t="s">
        <v>138</v>
      </c>
      <c r="E325" s="111" t="s">
        <v>470</v>
      </c>
      <c r="F325" s="109" t="s">
        <v>248</v>
      </c>
      <c r="G325" s="108">
        <v>1223</v>
      </c>
    </row>
    <row r="326" spans="1:7" ht="105">
      <c r="A326" s="75" t="s">
        <v>471</v>
      </c>
      <c r="B326" s="106" t="s">
        <v>147</v>
      </c>
      <c r="C326" s="106" t="s">
        <v>78</v>
      </c>
      <c r="D326" s="106" t="s">
        <v>138</v>
      </c>
      <c r="E326" s="111" t="s">
        <v>470</v>
      </c>
      <c r="F326" s="109" t="s">
        <v>472</v>
      </c>
      <c r="G326" s="108">
        <v>242.9</v>
      </c>
    </row>
    <row r="327" spans="1:7" ht="30">
      <c r="A327" s="75" t="s">
        <v>154</v>
      </c>
      <c r="B327" s="106" t="s">
        <v>147</v>
      </c>
      <c r="C327" s="106" t="s">
        <v>78</v>
      </c>
      <c r="D327" s="106" t="s">
        <v>138</v>
      </c>
      <c r="E327" s="106" t="s">
        <v>101</v>
      </c>
      <c r="F327" s="107"/>
      <c r="G327" s="108">
        <f>G328</f>
        <v>17805.1</v>
      </c>
    </row>
    <row r="328" spans="1:7" ht="45">
      <c r="A328" s="75" t="s">
        <v>383</v>
      </c>
      <c r="B328" s="106" t="s">
        <v>147</v>
      </c>
      <c r="C328" s="106" t="s">
        <v>78</v>
      </c>
      <c r="D328" s="106" t="s">
        <v>138</v>
      </c>
      <c r="E328" s="106" t="s">
        <v>175</v>
      </c>
      <c r="F328" s="107"/>
      <c r="G328" s="108">
        <f>G329+G330</f>
        <v>17805.1</v>
      </c>
    </row>
    <row r="329" spans="1:7" ht="30">
      <c r="A329" s="89" t="s">
        <v>262</v>
      </c>
      <c r="B329" s="106" t="s">
        <v>147</v>
      </c>
      <c r="C329" s="106" t="s">
        <v>78</v>
      </c>
      <c r="D329" s="106" t="s">
        <v>138</v>
      </c>
      <c r="E329" s="106" t="s">
        <v>175</v>
      </c>
      <c r="F329" s="107" t="s">
        <v>248</v>
      </c>
      <c r="G329" s="108">
        <v>3481.9</v>
      </c>
    </row>
    <row r="330" spans="1:7" ht="45">
      <c r="A330" s="89" t="s">
        <v>356</v>
      </c>
      <c r="B330" s="106" t="s">
        <v>147</v>
      </c>
      <c r="C330" s="106" t="s">
        <v>78</v>
      </c>
      <c r="D330" s="106" t="s">
        <v>138</v>
      </c>
      <c r="E330" s="106" t="s">
        <v>175</v>
      </c>
      <c r="F330" s="107" t="s">
        <v>292</v>
      </c>
      <c r="G330" s="108">
        <v>14323.2</v>
      </c>
    </row>
    <row r="331" spans="1:7" ht="45">
      <c r="A331" s="89" t="s">
        <v>479</v>
      </c>
      <c r="B331" s="106" t="s">
        <v>147</v>
      </c>
      <c r="C331" s="106" t="s">
        <v>78</v>
      </c>
      <c r="D331" s="106" t="s">
        <v>138</v>
      </c>
      <c r="E331" s="106" t="s">
        <v>435</v>
      </c>
      <c r="F331" s="107"/>
      <c r="G331" s="108">
        <f>G332+G335</f>
        <v>1317.8</v>
      </c>
    </row>
    <row r="332" spans="1:7" ht="60">
      <c r="A332" s="75" t="s">
        <v>489</v>
      </c>
      <c r="B332" s="106" t="s">
        <v>147</v>
      </c>
      <c r="C332" s="106" t="s">
        <v>78</v>
      </c>
      <c r="D332" s="106" t="s">
        <v>138</v>
      </c>
      <c r="E332" s="106" t="s">
        <v>477</v>
      </c>
      <c r="F332" s="107"/>
      <c r="G332" s="108">
        <v>873.7</v>
      </c>
    </row>
    <row r="333" spans="1:7" ht="30">
      <c r="A333" s="89" t="s">
        <v>262</v>
      </c>
      <c r="B333" s="106" t="s">
        <v>147</v>
      </c>
      <c r="C333" s="106" t="s">
        <v>78</v>
      </c>
      <c r="D333" s="106" t="s">
        <v>138</v>
      </c>
      <c r="E333" s="106" t="s">
        <v>477</v>
      </c>
      <c r="F333" s="107" t="s">
        <v>248</v>
      </c>
      <c r="G333" s="108">
        <v>128.7</v>
      </c>
    </row>
    <row r="334" spans="1:7" ht="45">
      <c r="A334" s="89" t="s">
        <v>356</v>
      </c>
      <c r="B334" s="106" t="s">
        <v>147</v>
      </c>
      <c r="C334" s="106" t="s">
        <v>78</v>
      </c>
      <c r="D334" s="106" t="s">
        <v>138</v>
      </c>
      <c r="E334" s="106" t="s">
        <v>477</v>
      </c>
      <c r="F334" s="107" t="s">
        <v>292</v>
      </c>
      <c r="G334" s="108">
        <v>745</v>
      </c>
    </row>
    <row r="335" spans="1:7" ht="45">
      <c r="A335" s="89" t="s">
        <v>474</v>
      </c>
      <c r="B335" s="106" t="s">
        <v>147</v>
      </c>
      <c r="C335" s="106" t="s">
        <v>78</v>
      </c>
      <c r="D335" s="106" t="s">
        <v>138</v>
      </c>
      <c r="E335" s="119" t="s">
        <v>473</v>
      </c>
      <c r="F335" s="107"/>
      <c r="G335" s="108">
        <f>G336+G337</f>
        <v>444.1</v>
      </c>
    </row>
    <row r="336" spans="1:7" ht="30">
      <c r="A336" s="89" t="s">
        <v>262</v>
      </c>
      <c r="B336" s="112" t="s">
        <v>147</v>
      </c>
      <c r="C336" s="106" t="s">
        <v>78</v>
      </c>
      <c r="D336" s="106" t="s">
        <v>138</v>
      </c>
      <c r="E336" s="119" t="s">
        <v>473</v>
      </c>
      <c r="F336" s="107" t="s">
        <v>248</v>
      </c>
      <c r="G336" s="108">
        <v>14.1</v>
      </c>
    </row>
    <row r="337" spans="1:7" ht="45">
      <c r="A337" s="97" t="s">
        <v>362</v>
      </c>
      <c r="B337" s="112" t="s">
        <v>147</v>
      </c>
      <c r="C337" s="106" t="s">
        <v>78</v>
      </c>
      <c r="D337" s="106" t="s">
        <v>138</v>
      </c>
      <c r="E337" s="119" t="s">
        <v>473</v>
      </c>
      <c r="F337" s="107" t="s">
        <v>292</v>
      </c>
      <c r="G337" s="108">
        <v>430</v>
      </c>
    </row>
    <row r="338" spans="1:7" ht="15">
      <c r="A338" s="75" t="s">
        <v>132</v>
      </c>
      <c r="B338" s="106" t="s">
        <v>147</v>
      </c>
      <c r="C338" s="106" t="s">
        <v>80</v>
      </c>
      <c r="D338" s="106"/>
      <c r="E338" s="106"/>
      <c r="F338" s="107"/>
      <c r="G338" s="108">
        <f>G339</f>
        <v>150</v>
      </c>
    </row>
    <row r="339" spans="1:7" ht="15">
      <c r="A339" s="75" t="s">
        <v>133</v>
      </c>
      <c r="B339" s="106" t="s">
        <v>147</v>
      </c>
      <c r="C339" s="106" t="s">
        <v>80</v>
      </c>
      <c r="D339" s="106" t="s">
        <v>139</v>
      </c>
      <c r="E339" s="106"/>
      <c r="F339" s="107"/>
      <c r="G339" s="108">
        <f>G340</f>
        <v>150</v>
      </c>
    </row>
    <row r="340" spans="1:7" ht="15">
      <c r="A340" s="75" t="s">
        <v>134</v>
      </c>
      <c r="B340" s="106" t="s">
        <v>147</v>
      </c>
      <c r="C340" s="106" t="s">
        <v>80</v>
      </c>
      <c r="D340" s="106" t="s">
        <v>139</v>
      </c>
      <c r="E340" s="106" t="s">
        <v>144</v>
      </c>
      <c r="F340" s="107"/>
      <c r="G340" s="108">
        <f>G341</f>
        <v>150</v>
      </c>
    </row>
    <row r="341" spans="1:7" ht="60">
      <c r="A341" s="89" t="s">
        <v>302</v>
      </c>
      <c r="B341" s="106" t="s">
        <v>147</v>
      </c>
      <c r="C341" s="106" t="s">
        <v>80</v>
      </c>
      <c r="D341" s="106" t="s">
        <v>139</v>
      </c>
      <c r="E341" s="106" t="s">
        <v>144</v>
      </c>
      <c r="F341" s="107" t="s">
        <v>9</v>
      </c>
      <c r="G341" s="108">
        <v>150</v>
      </c>
    </row>
    <row r="342" spans="1:7" ht="15">
      <c r="A342" s="89" t="s">
        <v>25</v>
      </c>
      <c r="B342" s="106" t="s">
        <v>147</v>
      </c>
      <c r="C342" s="106" t="s">
        <v>71</v>
      </c>
      <c r="D342" s="106"/>
      <c r="E342" s="106"/>
      <c r="F342" s="107"/>
      <c r="G342" s="108">
        <f>G343+G353</f>
        <v>10915.2</v>
      </c>
    </row>
    <row r="343" spans="1:7" ht="15">
      <c r="A343" s="75" t="s">
        <v>74</v>
      </c>
      <c r="B343" s="106" t="s">
        <v>147</v>
      </c>
      <c r="C343" s="106" t="s">
        <v>71</v>
      </c>
      <c r="D343" s="106" t="s">
        <v>75</v>
      </c>
      <c r="E343" s="106"/>
      <c r="F343" s="107"/>
      <c r="G343" s="108">
        <f>G344+G348+G351</f>
        <v>5128.2</v>
      </c>
    </row>
    <row r="344" spans="1:7" ht="30">
      <c r="A344" s="75" t="s">
        <v>100</v>
      </c>
      <c r="B344" s="106" t="s">
        <v>147</v>
      </c>
      <c r="C344" s="106" t="s">
        <v>71</v>
      </c>
      <c r="D344" s="106" t="s">
        <v>75</v>
      </c>
      <c r="E344" s="106" t="s">
        <v>177</v>
      </c>
      <c r="F344" s="107"/>
      <c r="G344" s="108">
        <f>G345</f>
        <v>2610</v>
      </c>
    </row>
    <row r="345" spans="1:7" ht="45">
      <c r="A345" s="75" t="s">
        <v>384</v>
      </c>
      <c r="B345" s="106" t="s">
        <v>147</v>
      </c>
      <c r="C345" s="106" t="s">
        <v>71</v>
      </c>
      <c r="D345" s="106" t="s">
        <v>75</v>
      </c>
      <c r="E345" s="106" t="s">
        <v>178</v>
      </c>
      <c r="F345" s="107"/>
      <c r="G345" s="108">
        <f>G346+G347</f>
        <v>2610</v>
      </c>
    </row>
    <row r="346" spans="1:7" ht="45">
      <c r="A346" s="89" t="s">
        <v>356</v>
      </c>
      <c r="B346" s="106" t="s">
        <v>147</v>
      </c>
      <c r="C346" s="106" t="s">
        <v>71</v>
      </c>
      <c r="D346" s="106" t="s">
        <v>75</v>
      </c>
      <c r="E346" s="106" t="s">
        <v>178</v>
      </c>
      <c r="F346" s="107" t="s">
        <v>292</v>
      </c>
      <c r="G346" s="108">
        <v>2500</v>
      </c>
    </row>
    <row r="347" spans="1:7" ht="30">
      <c r="A347" s="89" t="s">
        <v>262</v>
      </c>
      <c r="B347" s="106" t="s">
        <v>147</v>
      </c>
      <c r="C347" s="106" t="s">
        <v>71</v>
      </c>
      <c r="D347" s="106" t="s">
        <v>75</v>
      </c>
      <c r="E347" s="106" t="s">
        <v>178</v>
      </c>
      <c r="F347" s="107" t="s">
        <v>248</v>
      </c>
      <c r="G347" s="108">
        <v>110</v>
      </c>
    </row>
    <row r="348" spans="1:7" ht="45">
      <c r="A348" s="89" t="s">
        <v>479</v>
      </c>
      <c r="B348" s="106" t="s">
        <v>147</v>
      </c>
      <c r="C348" s="106" t="s">
        <v>71</v>
      </c>
      <c r="D348" s="106" t="s">
        <v>75</v>
      </c>
      <c r="E348" s="106" t="s">
        <v>435</v>
      </c>
      <c r="F348" s="107"/>
      <c r="G348" s="108">
        <f>G349</f>
        <v>1446.6</v>
      </c>
    </row>
    <row r="349" spans="1:7" ht="45">
      <c r="A349" s="75" t="s">
        <v>490</v>
      </c>
      <c r="B349" s="106" t="s">
        <v>147</v>
      </c>
      <c r="C349" s="106" t="s">
        <v>71</v>
      </c>
      <c r="D349" s="106" t="s">
        <v>75</v>
      </c>
      <c r="E349" s="106" t="s">
        <v>483</v>
      </c>
      <c r="F349" s="107"/>
      <c r="G349" s="108">
        <f>G350</f>
        <v>1446.6</v>
      </c>
    </row>
    <row r="350" spans="1:7" ht="45">
      <c r="A350" s="89" t="s">
        <v>356</v>
      </c>
      <c r="B350" s="106" t="s">
        <v>147</v>
      </c>
      <c r="C350" s="106" t="s">
        <v>71</v>
      </c>
      <c r="D350" s="106" t="s">
        <v>75</v>
      </c>
      <c r="E350" s="106" t="s">
        <v>483</v>
      </c>
      <c r="F350" s="107" t="s">
        <v>292</v>
      </c>
      <c r="G350" s="108">
        <v>1446.6</v>
      </c>
    </row>
    <row r="351" spans="1:7" ht="75">
      <c r="A351" s="89" t="s">
        <v>482</v>
      </c>
      <c r="B351" s="106" t="s">
        <v>147</v>
      </c>
      <c r="C351" s="106" t="s">
        <v>71</v>
      </c>
      <c r="D351" s="106" t="s">
        <v>75</v>
      </c>
      <c r="E351" s="106" t="s">
        <v>481</v>
      </c>
      <c r="F351" s="107"/>
      <c r="G351" s="108">
        <f>G352</f>
        <v>1071.6</v>
      </c>
    </row>
    <row r="352" spans="1:7" ht="30">
      <c r="A352" s="89" t="s">
        <v>262</v>
      </c>
      <c r="B352" s="106" t="s">
        <v>147</v>
      </c>
      <c r="C352" s="106" t="s">
        <v>71</v>
      </c>
      <c r="D352" s="106" t="s">
        <v>75</v>
      </c>
      <c r="E352" s="106" t="s">
        <v>481</v>
      </c>
      <c r="F352" s="107" t="s">
        <v>248</v>
      </c>
      <c r="G352" s="108">
        <v>1071.6</v>
      </c>
    </row>
    <row r="353" spans="1:7" ht="15">
      <c r="A353" s="77" t="s">
        <v>200</v>
      </c>
      <c r="B353" s="106" t="s">
        <v>147</v>
      </c>
      <c r="C353" s="106" t="s">
        <v>71</v>
      </c>
      <c r="D353" s="106" t="s">
        <v>76</v>
      </c>
      <c r="E353" s="106"/>
      <c r="F353" s="107"/>
      <c r="G353" s="108">
        <f>G354+G356</f>
        <v>5787</v>
      </c>
    </row>
    <row r="354" spans="1:7" ht="30">
      <c r="A354" s="77" t="s">
        <v>233</v>
      </c>
      <c r="B354" s="106" t="s">
        <v>147</v>
      </c>
      <c r="C354" s="106" t="s">
        <v>71</v>
      </c>
      <c r="D354" s="106" t="s">
        <v>76</v>
      </c>
      <c r="E354" s="106" t="s">
        <v>321</v>
      </c>
      <c r="F354" s="107"/>
      <c r="G354" s="108">
        <f>G355</f>
        <v>5713.8</v>
      </c>
    </row>
    <row r="355" spans="1:7" ht="60">
      <c r="A355" s="86" t="s">
        <v>14</v>
      </c>
      <c r="B355" s="106" t="s">
        <v>147</v>
      </c>
      <c r="C355" s="106" t="s">
        <v>71</v>
      </c>
      <c r="D355" s="106" t="s">
        <v>76</v>
      </c>
      <c r="E355" s="106" t="s">
        <v>321</v>
      </c>
      <c r="F355" s="107" t="s">
        <v>11</v>
      </c>
      <c r="G355" s="108">
        <v>5713.8</v>
      </c>
    </row>
    <row r="356" spans="1:7" ht="45">
      <c r="A356" s="86" t="s">
        <v>491</v>
      </c>
      <c r="B356" s="106" t="s">
        <v>147</v>
      </c>
      <c r="C356" s="106" t="s">
        <v>71</v>
      </c>
      <c r="D356" s="106" t="s">
        <v>76</v>
      </c>
      <c r="E356" s="106" t="s">
        <v>484</v>
      </c>
      <c r="F356" s="107"/>
      <c r="G356" s="108">
        <f>G357</f>
        <v>73.2</v>
      </c>
    </row>
    <row r="357" spans="1:7" ht="30">
      <c r="A357" s="86" t="s">
        <v>13</v>
      </c>
      <c r="B357" s="106" t="s">
        <v>147</v>
      </c>
      <c r="C357" s="106" t="s">
        <v>71</v>
      </c>
      <c r="D357" s="106" t="s">
        <v>76</v>
      </c>
      <c r="E357" s="106" t="s">
        <v>484</v>
      </c>
      <c r="F357" s="107" t="s">
        <v>12</v>
      </c>
      <c r="G357" s="108">
        <v>73.2</v>
      </c>
    </row>
    <row r="358" spans="1:7" ht="42.75">
      <c r="A358" s="99" t="s">
        <v>308</v>
      </c>
      <c r="B358" s="121" t="s">
        <v>186</v>
      </c>
      <c r="C358" s="112"/>
      <c r="D358" s="112"/>
      <c r="E358" s="122"/>
      <c r="F358" s="120"/>
      <c r="G358" s="105">
        <f>G359+G369</f>
        <v>18714.9</v>
      </c>
    </row>
    <row r="359" spans="1:7" ht="15">
      <c r="A359" s="75" t="s">
        <v>35</v>
      </c>
      <c r="B359" s="106" t="s">
        <v>186</v>
      </c>
      <c r="C359" s="106" t="s">
        <v>37</v>
      </c>
      <c r="D359" s="106"/>
      <c r="E359" s="106"/>
      <c r="F359" s="107"/>
      <c r="G359" s="108">
        <f>G360</f>
        <v>18150.9</v>
      </c>
    </row>
    <row r="360" spans="1:7" ht="15">
      <c r="A360" s="75" t="s">
        <v>46</v>
      </c>
      <c r="B360" s="106" t="s">
        <v>186</v>
      </c>
      <c r="C360" s="106" t="s">
        <v>37</v>
      </c>
      <c r="D360" s="106" t="s">
        <v>211</v>
      </c>
      <c r="E360" s="106"/>
      <c r="F360" s="107"/>
      <c r="G360" s="108">
        <f>G361</f>
        <v>18150.9</v>
      </c>
    </row>
    <row r="361" spans="1:7" ht="30">
      <c r="A361" s="75" t="s">
        <v>188</v>
      </c>
      <c r="B361" s="106" t="s">
        <v>186</v>
      </c>
      <c r="C361" s="106" t="s">
        <v>37</v>
      </c>
      <c r="D361" s="106" t="s">
        <v>211</v>
      </c>
      <c r="E361" s="106" t="s">
        <v>189</v>
      </c>
      <c r="F361" s="107"/>
      <c r="G361" s="108">
        <f>G362</f>
        <v>18150.9</v>
      </c>
    </row>
    <row r="362" spans="1:7" ht="30">
      <c r="A362" s="75" t="s">
        <v>275</v>
      </c>
      <c r="B362" s="106" t="s">
        <v>186</v>
      </c>
      <c r="C362" s="106" t="s">
        <v>37</v>
      </c>
      <c r="D362" s="106" t="s">
        <v>211</v>
      </c>
      <c r="E362" s="106" t="s">
        <v>187</v>
      </c>
      <c r="F362" s="107"/>
      <c r="G362" s="108">
        <f>G363+G365+G366+G367+G368+G364</f>
        <v>18150.9</v>
      </c>
    </row>
    <row r="363" spans="1:7" ht="15">
      <c r="A363" s="86" t="s">
        <v>242</v>
      </c>
      <c r="B363" s="106" t="s">
        <v>186</v>
      </c>
      <c r="C363" s="106" t="s">
        <v>37</v>
      </c>
      <c r="D363" s="106" t="s">
        <v>211</v>
      </c>
      <c r="E363" s="106" t="s">
        <v>187</v>
      </c>
      <c r="F363" s="109" t="s">
        <v>258</v>
      </c>
      <c r="G363" s="108">
        <f>5272+72+375.4</f>
        <v>5719.4</v>
      </c>
    </row>
    <row r="364" spans="1:7" ht="30">
      <c r="A364" s="86" t="s">
        <v>243</v>
      </c>
      <c r="B364" s="106" t="s">
        <v>186</v>
      </c>
      <c r="C364" s="106" t="s">
        <v>37</v>
      </c>
      <c r="D364" s="106" t="s">
        <v>211</v>
      </c>
      <c r="E364" s="106" t="s">
        <v>187</v>
      </c>
      <c r="F364" s="109" t="s">
        <v>264</v>
      </c>
      <c r="G364" s="108">
        <v>8</v>
      </c>
    </row>
    <row r="365" spans="1:7" ht="30">
      <c r="A365" s="86" t="s">
        <v>244</v>
      </c>
      <c r="B365" s="106" t="s">
        <v>186</v>
      </c>
      <c r="C365" s="106" t="s">
        <v>37</v>
      </c>
      <c r="D365" s="106" t="s">
        <v>211</v>
      </c>
      <c r="E365" s="106" t="s">
        <v>187</v>
      </c>
      <c r="F365" s="109" t="s">
        <v>247</v>
      </c>
      <c r="G365" s="108">
        <f>378.8+60+55</f>
        <v>493.8</v>
      </c>
    </row>
    <row r="366" spans="1:7" ht="30">
      <c r="A366" s="75" t="s">
        <v>262</v>
      </c>
      <c r="B366" s="106" t="s">
        <v>186</v>
      </c>
      <c r="C366" s="106" t="s">
        <v>37</v>
      </c>
      <c r="D366" s="106" t="s">
        <v>211</v>
      </c>
      <c r="E366" s="106" t="s">
        <v>187</v>
      </c>
      <c r="F366" s="109" t="s">
        <v>248</v>
      </c>
      <c r="G366" s="108">
        <f>13223.5+290-75-2134.7</f>
        <v>11303.8</v>
      </c>
    </row>
    <row r="367" spans="1:7" ht="30">
      <c r="A367" s="86" t="s">
        <v>245</v>
      </c>
      <c r="B367" s="106" t="s">
        <v>186</v>
      </c>
      <c r="C367" s="106" t="s">
        <v>37</v>
      </c>
      <c r="D367" s="106" t="s">
        <v>211</v>
      </c>
      <c r="E367" s="106" t="s">
        <v>187</v>
      </c>
      <c r="F367" s="109" t="s">
        <v>249</v>
      </c>
      <c r="G367" s="108">
        <f>568.9-7.7</f>
        <v>561.2</v>
      </c>
    </row>
    <row r="368" spans="1:7" ht="30">
      <c r="A368" s="86" t="s">
        <v>246</v>
      </c>
      <c r="B368" s="106" t="s">
        <v>186</v>
      </c>
      <c r="C368" s="106" t="s">
        <v>37</v>
      </c>
      <c r="D368" s="106" t="s">
        <v>211</v>
      </c>
      <c r="E368" s="106" t="s">
        <v>187</v>
      </c>
      <c r="F368" s="109" t="s">
        <v>250</v>
      </c>
      <c r="G368" s="108">
        <f>15+21.5+3.2+25</f>
        <v>64.7</v>
      </c>
    </row>
    <row r="369" spans="1:7" ht="15">
      <c r="A369" s="75" t="s">
        <v>27</v>
      </c>
      <c r="B369" s="106" t="s">
        <v>186</v>
      </c>
      <c r="C369" s="106" t="s">
        <v>78</v>
      </c>
      <c r="D369" s="106"/>
      <c r="E369" s="106"/>
      <c r="F369" s="107"/>
      <c r="G369" s="108">
        <f>G370</f>
        <v>564</v>
      </c>
    </row>
    <row r="370" spans="1:7" ht="15">
      <c r="A370" s="75" t="s">
        <v>103</v>
      </c>
      <c r="B370" s="106" t="s">
        <v>186</v>
      </c>
      <c r="C370" s="106" t="s">
        <v>78</v>
      </c>
      <c r="D370" s="106" t="s">
        <v>135</v>
      </c>
      <c r="E370" s="106"/>
      <c r="F370" s="107"/>
      <c r="G370" s="108">
        <f>G371</f>
        <v>564</v>
      </c>
    </row>
    <row r="371" spans="1:7" ht="30">
      <c r="A371" s="75" t="s">
        <v>351</v>
      </c>
      <c r="B371" s="106" t="s">
        <v>186</v>
      </c>
      <c r="C371" s="106" t="s">
        <v>78</v>
      </c>
      <c r="D371" s="106" t="s">
        <v>135</v>
      </c>
      <c r="E371" s="106" t="s">
        <v>325</v>
      </c>
      <c r="F371" s="107"/>
      <c r="G371" s="108">
        <f>G372</f>
        <v>564</v>
      </c>
    </row>
    <row r="372" spans="1:7" ht="30">
      <c r="A372" s="77" t="s">
        <v>350</v>
      </c>
      <c r="B372" s="106" t="s">
        <v>186</v>
      </c>
      <c r="C372" s="106" t="s">
        <v>78</v>
      </c>
      <c r="D372" s="106" t="s">
        <v>135</v>
      </c>
      <c r="E372" s="106" t="s">
        <v>328</v>
      </c>
      <c r="F372" s="107"/>
      <c r="G372" s="108">
        <f>G374+G373</f>
        <v>564</v>
      </c>
    </row>
    <row r="373" spans="1:7" ht="30">
      <c r="A373" s="86" t="s">
        <v>244</v>
      </c>
      <c r="B373" s="106" t="s">
        <v>186</v>
      </c>
      <c r="C373" s="106" t="s">
        <v>78</v>
      </c>
      <c r="D373" s="106" t="s">
        <v>135</v>
      </c>
      <c r="E373" s="106" t="s">
        <v>328</v>
      </c>
      <c r="F373" s="107" t="s">
        <v>247</v>
      </c>
      <c r="G373" s="108">
        <f>202.5-82.5</f>
        <v>120</v>
      </c>
    </row>
    <row r="374" spans="1:7" ht="30">
      <c r="A374" s="75" t="s">
        <v>262</v>
      </c>
      <c r="B374" s="106" t="s">
        <v>186</v>
      </c>
      <c r="C374" s="106" t="s">
        <v>78</v>
      </c>
      <c r="D374" s="106" t="s">
        <v>135</v>
      </c>
      <c r="E374" s="106" t="s">
        <v>328</v>
      </c>
      <c r="F374" s="107" t="s">
        <v>248</v>
      </c>
      <c r="G374" s="108">
        <f>594+25.5-202.5-13+40</f>
        <v>444</v>
      </c>
    </row>
    <row r="375" spans="1:7" ht="42.75">
      <c r="A375" s="87" t="s">
        <v>311</v>
      </c>
      <c r="B375" s="102" t="s">
        <v>199</v>
      </c>
      <c r="C375" s="103"/>
      <c r="D375" s="103"/>
      <c r="E375" s="103"/>
      <c r="F375" s="104"/>
      <c r="G375" s="105">
        <f>G376+G383</f>
        <v>94382.6</v>
      </c>
    </row>
    <row r="376" spans="1:7" ht="15">
      <c r="A376" s="75" t="s">
        <v>30</v>
      </c>
      <c r="B376" s="106" t="s">
        <v>199</v>
      </c>
      <c r="C376" s="106" t="s">
        <v>52</v>
      </c>
      <c r="D376" s="106"/>
      <c r="E376" s="106"/>
      <c r="F376" s="107"/>
      <c r="G376" s="108">
        <f>G377</f>
        <v>3216.6</v>
      </c>
    </row>
    <row r="377" spans="1:7" ht="15">
      <c r="A377" s="75" t="s">
        <v>33</v>
      </c>
      <c r="B377" s="106" t="s">
        <v>199</v>
      </c>
      <c r="C377" s="106" t="s">
        <v>52</v>
      </c>
      <c r="D377" s="106" t="s">
        <v>55</v>
      </c>
      <c r="E377" s="106"/>
      <c r="F377" s="107"/>
      <c r="G377" s="108">
        <f>G378</f>
        <v>3216.6</v>
      </c>
    </row>
    <row r="378" spans="1:7" ht="15">
      <c r="A378" s="75" t="s">
        <v>111</v>
      </c>
      <c r="B378" s="106" t="s">
        <v>199</v>
      </c>
      <c r="C378" s="106" t="s">
        <v>52</v>
      </c>
      <c r="D378" s="106" t="s">
        <v>55</v>
      </c>
      <c r="E378" s="106" t="s">
        <v>58</v>
      </c>
      <c r="F378" s="107"/>
      <c r="G378" s="108">
        <f>G379+G381</f>
        <v>3216.6</v>
      </c>
    </row>
    <row r="379" spans="1:7" ht="30">
      <c r="A379" s="75" t="s">
        <v>275</v>
      </c>
      <c r="B379" s="106" t="s">
        <v>199</v>
      </c>
      <c r="C379" s="106" t="s">
        <v>52</v>
      </c>
      <c r="D379" s="106" t="s">
        <v>55</v>
      </c>
      <c r="E379" s="106" t="s">
        <v>313</v>
      </c>
      <c r="F379" s="107"/>
      <c r="G379" s="108">
        <f>G380</f>
        <v>3194</v>
      </c>
    </row>
    <row r="380" spans="1:7" ht="60">
      <c r="A380" s="86" t="s">
        <v>14</v>
      </c>
      <c r="B380" s="106" t="s">
        <v>199</v>
      </c>
      <c r="C380" s="106" t="s">
        <v>52</v>
      </c>
      <c r="D380" s="106" t="s">
        <v>55</v>
      </c>
      <c r="E380" s="106" t="s">
        <v>313</v>
      </c>
      <c r="F380" s="107" t="s">
        <v>11</v>
      </c>
      <c r="G380" s="108">
        <f>2826+243+125-243+243</f>
        <v>3194</v>
      </c>
    </row>
    <row r="381" spans="1:7" ht="30">
      <c r="A381" s="86" t="s">
        <v>429</v>
      </c>
      <c r="B381" s="106" t="s">
        <v>199</v>
      </c>
      <c r="C381" s="106" t="s">
        <v>52</v>
      </c>
      <c r="D381" s="106" t="s">
        <v>55</v>
      </c>
      <c r="E381" s="106" t="s">
        <v>431</v>
      </c>
      <c r="F381" s="107"/>
      <c r="G381" s="108">
        <f>G382</f>
        <v>22.6</v>
      </c>
    </row>
    <row r="382" spans="1:7" ht="23.25" customHeight="1">
      <c r="A382" s="86" t="s">
        <v>13</v>
      </c>
      <c r="B382" s="106" t="s">
        <v>199</v>
      </c>
      <c r="C382" s="106" t="s">
        <v>52</v>
      </c>
      <c r="D382" s="106" t="s">
        <v>55</v>
      </c>
      <c r="E382" s="106" t="s">
        <v>431</v>
      </c>
      <c r="F382" s="107" t="s">
        <v>12</v>
      </c>
      <c r="G382" s="108">
        <v>22.6</v>
      </c>
    </row>
    <row r="383" spans="1:7" ht="15">
      <c r="A383" s="75" t="s">
        <v>117</v>
      </c>
      <c r="B383" s="106" t="s">
        <v>199</v>
      </c>
      <c r="C383" s="106" t="s">
        <v>202</v>
      </c>
      <c r="D383" s="106"/>
      <c r="E383" s="106"/>
      <c r="F383" s="107"/>
      <c r="G383" s="108">
        <f>G384+G409+G400</f>
        <v>91166</v>
      </c>
    </row>
    <row r="384" spans="1:7" ht="15">
      <c r="A384" s="75" t="s">
        <v>347</v>
      </c>
      <c r="B384" s="106" t="s">
        <v>199</v>
      </c>
      <c r="C384" s="106" t="s">
        <v>202</v>
      </c>
      <c r="D384" s="106" t="s">
        <v>212</v>
      </c>
      <c r="E384" s="106"/>
      <c r="F384" s="107"/>
      <c r="G384" s="108">
        <f>G385+G395</f>
        <v>25715.2</v>
      </c>
    </row>
    <row r="385" spans="1:7" ht="20.25" customHeight="1">
      <c r="A385" s="75" t="s">
        <v>100</v>
      </c>
      <c r="B385" s="106" t="s">
        <v>199</v>
      </c>
      <c r="C385" s="106" t="s">
        <v>202</v>
      </c>
      <c r="D385" s="106" t="s">
        <v>212</v>
      </c>
      <c r="E385" s="106" t="s">
        <v>101</v>
      </c>
      <c r="F385" s="107"/>
      <c r="G385" s="108">
        <f>G386+G393</f>
        <v>25416.4</v>
      </c>
    </row>
    <row r="386" spans="1:7" ht="45">
      <c r="A386" s="75" t="s">
        <v>387</v>
      </c>
      <c r="B386" s="106" t="s">
        <v>199</v>
      </c>
      <c r="C386" s="106" t="s">
        <v>202</v>
      </c>
      <c r="D386" s="106" t="s">
        <v>212</v>
      </c>
      <c r="E386" s="106" t="s">
        <v>280</v>
      </c>
      <c r="F386" s="107"/>
      <c r="G386" s="108">
        <f>G387+G391</f>
        <v>25366.4</v>
      </c>
    </row>
    <row r="387" spans="1:7" ht="45">
      <c r="A387" s="75" t="s">
        <v>388</v>
      </c>
      <c r="B387" s="106" t="s">
        <v>199</v>
      </c>
      <c r="C387" s="106" t="s">
        <v>202</v>
      </c>
      <c r="D387" s="106" t="s">
        <v>212</v>
      </c>
      <c r="E387" s="106" t="s">
        <v>330</v>
      </c>
      <c r="F387" s="107"/>
      <c r="G387" s="108">
        <f>G388+G389+G390</f>
        <v>24866.4</v>
      </c>
    </row>
    <row r="388" spans="1:7" ht="30">
      <c r="A388" s="75" t="s">
        <v>262</v>
      </c>
      <c r="B388" s="106" t="s">
        <v>199</v>
      </c>
      <c r="C388" s="106" t="s">
        <v>202</v>
      </c>
      <c r="D388" s="106" t="s">
        <v>212</v>
      </c>
      <c r="E388" s="106" t="s">
        <v>333</v>
      </c>
      <c r="F388" s="107" t="s">
        <v>248</v>
      </c>
      <c r="G388" s="108">
        <f>8330-1332.5+103.7+262.7</f>
        <v>7363.9</v>
      </c>
    </row>
    <row r="389" spans="1:7" ht="21" customHeight="1">
      <c r="A389" s="75" t="s">
        <v>13</v>
      </c>
      <c r="B389" s="106" t="s">
        <v>199</v>
      </c>
      <c r="C389" s="106" t="s">
        <v>202</v>
      </c>
      <c r="D389" s="106" t="s">
        <v>212</v>
      </c>
      <c r="E389" s="106" t="s">
        <v>333</v>
      </c>
      <c r="F389" s="107" t="s">
        <v>12</v>
      </c>
      <c r="G389" s="108">
        <f>12675.5+1194.3+132.9+432.4</f>
        <v>14435.1</v>
      </c>
    </row>
    <row r="390" spans="1:7" ht="43.5" customHeight="1">
      <c r="A390" s="75" t="s">
        <v>561</v>
      </c>
      <c r="B390" s="106" t="s">
        <v>199</v>
      </c>
      <c r="C390" s="106" t="s">
        <v>202</v>
      </c>
      <c r="D390" s="106" t="s">
        <v>212</v>
      </c>
      <c r="E390" s="106" t="s">
        <v>333</v>
      </c>
      <c r="F390" s="107" t="s">
        <v>552</v>
      </c>
      <c r="G390" s="108">
        <f>1020+2047.4</f>
        <v>3067.4</v>
      </c>
    </row>
    <row r="391" spans="1:7" ht="45.75" customHeight="1">
      <c r="A391" s="75" t="s">
        <v>389</v>
      </c>
      <c r="B391" s="106" t="s">
        <v>199</v>
      </c>
      <c r="C391" s="106" t="s">
        <v>202</v>
      </c>
      <c r="D391" s="106" t="s">
        <v>212</v>
      </c>
      <c r="E391" s="106" t="s">
        <v>331</v>
      </c>
      <c r="F391" s="107"/>
      <c r="G391" s="108">
        <f>G392</f>
        <v>500</v>
      </c>
    </row>
    <row r="392" spans="1:7" ht="21" customHeight="1">
      <c r="A392" s="77" t="s">
        <v>13</v>
      </c>
      <c r="B392" s="106" t="s">
        <v>199</v>
      </c>
      <c r="C392" s="106" t="s">
        <v>202</v>
      </c>
      <c r="D392" s="106" t="s">
        <v>212</v>
      </c>
      <c r="E392" s="106" t="s">
        <v>345</v>
      </c>
      <c r="F392" s="107" t="s">
        <v>12</v>
      </c>
      <c r="G392" s="108">
        <v>500</v>
      </c>
    </row>
    <row r="393" spans="1:7" ht="45">
      <c r="A393" s="75" t="s">
        <v>370</v>
      </c>
      <c r="B393" s="106" t="s">
        <v>199</v>
      </c>
      <c r="C393" s="106" t="s">
        <v>202</v>
      </c>
      <c r="D393" s="106" t="s">
        <v>212</v>
      </c>
      <c r="E393" s="106" t="s">
        <v>371</v>
      </c>
      <c r="F393" s="107"/>
      <c r="G393" s="108">
        <f>G394</f>
        <v>50</v>
      </c>
    </row>
    <row r="394" spans="1:7" ht="30">
      <c r="A394" s="75" t="s">
        <v>262</v>
      </c>
      <c r="B394" s="106" t="s">
        <v>199</v>
      </c>
      <c r="C394" s="106" t="s">
        <v>202</v>
      </c>
      <c r="D394" s="106" t="s">
        <v>212</v>
      </c>
      <c r="E394" s="106" t="s">
        <v>372</v>
      </c>
      <c r="F394" s="107" t="s">
        <v>248</v>
      </c>
      <c r="G394" s="108">
        <v>50</v>
      </c>
    </row>
    <row r="395" spans="1:7" ht="60">
      <c r="A395" s="75" t="s">
        <v>448</v>
      </c>
      <c r="B395" s="106" t="s">
        <v>199</v>
      </c>
      <c r="C395" s="106" t="s">
        <v>202</v>
      </c>
      <c r="D395" s="106" t="s">
        <v>212</v>
      </c>
      <c r="E395" s="106" t="s">
        <v>449</v>
      </c>
      <c r="F395" s="107"/>
      <c r="G395" s="108">
        <f>G396+G398</f>
        <v>298.8</v>
      </c>
    </row>
    <row r="396" spans="1:7" ht="45">
      <c r="A396" s="75" t="s">
        <v>388</v>
      </c>
      <c r="B396" s="106" t="s">
        <v>199</v>
      </c>
      <c r="C396" s="106" t="s">
        <v>202</v>
      </c>
      <c r="D396" s="106" t="s">
        <v>212</v>
      </c>
      <c r="E396" s="106" t="s">
        <v>450</v>
      </c>
      <c r="F396" s="107"/>
      <c r="G396" s="108">
        <f>G397</f>
        <v>281.7</v>
      </c>
    </row>
    <row r="397" spans="1:7" ht="30">
      <c r="A397" s="75" t="s">
        <v>262</v>
      </c>
      <c r="B397" s="106" t="s">
        <v>199</v>
      </c>
      <c r="C397" s="106" t="s">
        <v>202</v>
      </c>
      <c r="D397" s="106" t="s">
        <v>212</v>
      </c>
      <c r="E397" s="106" t="s">
        <v>450</v>
      </c>
      <c r="F397" s="107" t="s">
        <v>248</v>
      </c>
      <c r="G397" s="108">
        <v>281.7</v>
      </c>
    </row>
    <row r="398" spans="1:7" ht="45">
      <c r="A398" s="75" t="s">
        <v>453</v>
      </c>
      <c r="B398" s="106" t="s">
        <v>199</v>
      </c>
      <c r="C398" s="106" t="s">
        <v>202</v>
      </c>
      <c r="D398" s="106" t="s">
        <v>212</v>
      </c>
      <c r="E398" s="106" t="s">
        <v>454</v>
      </c>
      <c r="F398" s="107"/>
      <c r="G398" s="108">
        <f>G399</f>
        <v>17.1</v>
      </c>
    </row>
    <row r="399" spans="1:7" ht="22.5" customHeight="1">
      <c r="A399" s="75" t="s">
        <v>13</v>
      </c>
      <c r="B399" s="106" t="s">
        <v>199</v>
      </c>
      <c r="C399" s="106" t="s">
        <v>202</v>
      </c>
      <c r="D399" s="106" t="s">
        <v>212</v>
      </c>
      <c r="E399" s="106" t="s">
        <v>454</v>
      </c>
      <c r="F399" s="107" t="s">
        <v>12</v>
      </c>
      <c r="G399" s="108">
        <v>17.1</v>
      </c>
    </row>
    <row r="400" spans="1:7" ht="15">
      <c r="A400" s="75" t="s">
        <v>336</v>
      </c>
      <c r="B400" s="106" t="s">
        <v>199</v>
      </c>
      <c r="C400" s="106" t="s">
        <v>202</v>
      </c>
      <c r="D400" s="106" t="s">
        <v>335</v>
      </c>
      <c r="E400" s="106"/>
      <c r="F400" s="107"/>
      <c r="G400" s="108">
        <f>G405+G407+G401</f>
        <v>60938.6</v>
      </c>
    </row>
    <row r="401" spans="1:7" ht="30">
      <c r="A401" s="75" t="s">
        <v>537</v>
      </c>
      <c r="B401" s="106" t="s">
        <v>199</v>
      </c>
      <c r="C401" s="106" t="s">
        <v>202</v>
      </c>
      <c r="D401" s="106" t="s">
        <v>335</v>
      </c>
      <c r="E401" s="106" t="s">
        <v>538</v>
      </c>
      <c r="F401" s="107"/>
      <c r="G401" s="108">
        <f>G402</f>
        <v>53801.1</v>
      </c>
    </row>
    <row r="402" spans="1:7" ht="60">
      <c r="A402" s="75" t="s">
        <v>557</v>
      </c>
      <c r="B402" s="106" t="s">
        <v>199</v>
      </c>
      <c r="C402" s="106" t="s">
        <v>202</v>
      </c>
      <c r="D402" s="106" t="s">
        <v>335</v>
      </c>
      <c r="E402" s="106" t="s">
        <v>539</v>
      </c>
      <c r="F402" s="107"/>
      <c r="G402" s="108">
        <v>53801.1</v>
      </c>
    </row>
    <row r="403" spans="1:7" ht="30">
      <c r="A403" s="75" t="s">
        <v>13</v>
      </c>
      <c r="B403" s="106" t="s">
        <v>199</v>
      </c>
      <c r="C403" s="106" t="s">
        <v>202</v>
      </c>
      <c r="D403" s="106" t="s">
        <v>335</v>
      </c>
      <c r="E403" s="106" t="s">
        <v>539</v>
      </c>
      <c r="F403" s="107" t="s">
        <v>12</v>
      </c>
      <c r="G403" s="108">
        <v>53801.1</v>
      </c>
    </row>
    <row r="404" spans="1:7" ht="45">
      <c r="A404" s="86" t="s">
        <v>334</v>
      </c>
      <c r="B404" s="106" t="s">
        <v>199</v>
      </c>
      <c r="C404" s="106" t="s">
        <v>202</v>
      </c>
      <c r="D404" s="106" t="s">
        <v>335</v>
      </c>
      <c r="E404" s="106" t="s">
        <v>337</v>
      </c>
      <c r="F404" s="107"/>
      <c r="G404" s="108">
        <f>G405</f>
        <v>6681.9</v>
      </c>
    </row>
    <row r="405" spans="1:7" ht="30">
      <c r="A405" s="75" t="s">
        <v>275</v>
      </c>
      <c r="B405" s="106" t="s">
        <v>199</v>
      </c>
      <c r="C405" s="106" t="s">
        <v>202</v>
      </c>
      <c r="D405" s="106" t="s">
        <v>335</v>
      </c>
      <c r="E405" s="106" t="s">
        <v>338</v>
      </c>
      <c r="F405" s="107"/>
      <c r="G405" s="108">
        <f>G406</f>
        <v>6681.9</v>
      </c>
    </row>
    <row r="406" spans="1:7" ht="60">
      <c r="A406" s="86" t="s">
        <v>14</v>
      </c>
      <c r="B406" s="106" t="s">
        <v>199</v>
      </c>
      <c r="C406" s="106" t="s">
        <v>202</v>
      </c>
      <c r="D406" s="106" t="s">
        <v>335</v>
      </c>
      <c r="E406" s="106" t="s">
        <v>338</v>
      </c>
      <c r="F406" s="107" t="s">
        <v>11</v>
      </c>
      <c r="G406" s="108">
        <f>6551-292.8+183+18.7+222</f>
        <v>6681.9</v>
      </c>
    </row>
    <row r="407" spans="1:7" ht="30">
      <c r="A407" s="86" t="s">
        <v>429</v>
      </c>
      <c r="B407" s="106" t="s">
        <v>199</v>
      </c>
      <c r="C407" s="106" t="s">
        <v>202</v>
      </c>
      <c r="D407" s="106" t="s">
        <v>335</v>
      </c>
      <c r="E407" s="106" t="s">
        <v>451</v>
      </c>
      <c r="F407" s="107"/>
      <c r="G407" s="108">
        <f>G408</f>
        <v>455.6</v>
      </c>
    </row>
    <row r="408" spans="1:7" ht="30">
      <c r="A408" s="86" t="s">
        <v>13</v>
      </c>
      <c r="B408" s="106" t="s">
        <v>199</v>
      </c>
      <c r="C408" s="106" t="s">
        <v>202</v>
      </c>
      <c r="D408" s="106" t="s">
        <v>335</v>
      </c>
      <c r="E408" s="106" t="s">
        <v>451</v>
      </c>
      <c r="F408" s="107" t="s">
        <v>12</v>
      </c>
      <c r="G408" s="108">
        <v>455.6</v>
      </c>
    </row>
    <row r="409" spans="1:7" ht="30">
      <c r="A409" s="75" t="s">
        <v>203</v>
      </c>
      <c r="B409" s="106" t="s">
        <v>199</v>
      </c>
      <c r="C409" s="106" t="s">
        <v>202</v>
      </c>
      <c r="D409" s="106" t="s">
        <v>201</v>
      </c>
      <c r="E409" s="106"/>
      <c r="F409" s="107"/>
      <c r="G409" s="108">
        <f>G410+G417</f>
        <v>4512.2</v>
      </c>
    </row>
    <row r="410" spans="1:7" ht="45">
      <c r="A410" s="77" t="s">
        <v>252</v>
      </c>
      <c r="B410" s="106" t="s">
        <v>199</v>
      </c>
      <c r="C410" s="106" t="s">
        <v>202</v>
      </c>
      <c r="D410" s="106" t="s">
        <v>201</v>
      </c>
      <c r="E410" s="106" t="s">
        <v>119</v>
      </c>
      <c r="F410" s="107"/>
      <c r="G410" s="108">
        <f>G411</f>
        <v>2442.8</v>
      </c>
    </row>
    <row r="411" spans="1:7" ht="15">
      <c r="A411" s="77" t="s">
        <v>36</v>
      </c>
      <c r="B411" s="106" t="s">
        <v>199</v>
      </c>
      <c r="C411" s="106" t="s">
        <v>202</v>
      </c>
      <c r="D411" s="106" t="s">
        <v>201</v>
      </c>
      <c r="E411" s="106" t="s">
        <v>120</v>
      </c>
      <c r="F411" s="107"/>
      <c r="G411" s="108">
        <f>G412+G415+G416+G413+G414</f>
        <v>2442.8</v>
      </c>
    </row>
    <row r="412" spans="1:7" ht="15">
      <c r="A412" s="86" t="s">
        <v>242</v>
      </c>
      <c r="B412" s="106" t="s">
        <v>199</v>
      </c>
      <c r="C412" s="106" t="s">
        <v>202</v>
      </c>
      <c r="D412" s="106" t="s">
        <v>201</v>
      </c>
      <c r="E412" s="106" t="s">
        <v>120</v>
      </c>
      <c r="F412" s="109" t="s">
        <v>295</v>
      </c>
      <c r="G412" s="108">
        <f>1979+27+78.1</f>
        <v>2084.1</v>
      </c>
    </row>
    <row r="413" spans="1:7" ht="30">
      <c r="A413" s="86" t="s">
        <v>243</v>
      </c>
      <c r="B413" s="106" t="s">
        <v>199</v>
      </c>
      <c r="C413" s="106" t="s">
        <v>202</v>
      </c>
      <c r="D413" s="106" t="s">
        <v>201</v>
      </c>
      <c r="E413" s="106" t="s">
        <v>120</v>
      </c>
      <c r="F413" s="109" t="s">
        <v>304</v>
      </c>
      <c r="G413" s="108">
        <v>2</v>
      </c>
    </row>
    <row r="414" spans="1:7" ht="30">
      <c r="A414" s="86" t="s">
        <v>244</v>
      </c>
      <c r="B414" s="106" t="s">
        <v>199</v>
      </c>
      <c r="C414" s="106" t="s">
        <v>202</v>
      </c>
      <c r="D414" s="106" t="s">
        <v>201</v>
      </c>
      <c r="E414" s="106" t="s">
        <v>120</v>
      </c>
      <c r="F414" s="109" t="s">
        <v>247</v>
      </c>
      <c r="G414" s="108">
        <v>39</v>
      </c>
    </row>
    <row r="415" spans="1:7" ht="30">
      <c r="A415" s="75" t="s">
        <v>262</v>
      </c>
      <c r="B415" s="106" t="s">
        <v>199</v>
      </c>
      <c r="C415" s="106" t="s">
        <v>202</v>
      </c>
      <c r="D415" s="106" t="s">
        <v>201</v>
      </c>
      <c r="E415" s="106" t="s">
        <v>120</v>
      </c>
      <c r="F415" s="109" t="s">
        <v>248</v>
      </c>
      <c r="G415" s="108">
        <f>223+22.9-23.2+60</f>
        <v>282.7</v>
      </c>
    </row>
    <row r="416" spans="1:7" ht="30">
      <c r="A416" s="86" t="s">
        <v>245</v>
      </c>
      <c r="B416" s="106" t="s">
        <v>199</v>
      </c>
      <c r="C416" s="106" t="s">
        <v>202</v>
      </c>
      <c r="D416" s="106" t="s">
        <v>201</v>
      </c>
      <c r="E416" s="106" t="s">
        <v>120</v>
      </c>
      <c r="F416" s="109" t="s">
        <v>249</v>
      </c>
      <c r="G416" s="108">
        <v>35</v>
      </c>
    </row>
    <row r="417" spans="1:7" ht="90">
      <c r="A417" s="75" t="s">
        <v>96</v>
      </c>
      <c r="B417" s="106" t="s">
        <v>199</v>
      </c>
      <c r="C417" s="106" t="s">
        <v>202</v>
      </c>
      <c r="D417" s="106" t="s">
        <v>201</v>
      </c>
      <c r="E417" s="106" t="s">
        <v>63</v>
      </c>
      <c r="F417" s="107"/>
      <c r="G417" s="108">
        <f>G418</f>
        <v>2069.4</v>
      </c>
    </row>
    <row r="418" spans="1:7" ht="30">
      <c r="A418" s="75" t="s">
        <v>275</v>
      </c>
      <c r="B418" s="106" t="s">
        <v>199</v>
      </c>
      <c r="C418" s="106" t="s">
        <v>202</v>
      </c>
      <c r="D418" s="106" t="s">
        <v>201</v>
      </c>
      <c r="E418" s="106" t="s">
        <v>127</v>
      </c>
      <c r="F418" s="107"/>
      <c r="G418" s="108">
        <f>G419+G420+G421+G422+G423</f>
        <v>2069.4</v>
      </c>
    </row>
    <row r="419" spans="1:7" ht="15">
      <c r="A419" s="86" t="s">
        <v>242</v>
      </c>
      <c r="B419" s="106" t="s">
        <v>199</v>
      </c>
      <c r="C419" s="106" t="s">
        <v>202</v>
      </c>
      <c r="D419" s="106" t="s">
        <v>201</v>
      </c>
      <c r="E419" s="106" t="s">
        <v>127</v>
      </c>
      <c r="F419" s="109" t="s">
        <v>258</v>
      </c>
      <c r="G419" s="108">
        <f>1846+25</f>
        <v>1871</v>
      </c>
    </row>
    <row r="420" spans="1:7" ht="30">
      <c r="A420" s="86" t="s">
        <v>244</v>
      </c>
      <c r="B420" s="106" t="s">
        <v>199</v>
      </c>
      <c r="C420" s="106" t="s">
        <v>202</v>
      </c>
      <c r="D420" s="106" t="s">
        <v>201</v>
      </c>
      <c r="E420" s="106" t="s">
        <v>127</v>
      </c>
      <c r="F420" s="109" t="s">
        <v>247</v>
      </c>
      <c r="G420" s="108">
        <f>116.4+30+3.9</f>
        <v>150.3</v>
      </c>
    </row>
    <row r="421" spans="1:7" ht="30">
      <c r="A421" s="75" t="s">
        <v>262</v>
      </c>
      <c r="B421" s="106" t="s">
        <v>199</v>
      </c>
      <c r="C421" s="106" t="s">
        <v>202</v>
      </c>
      <c r="D421" s="106" t="s">
        <v>201</v>
      </c>
      <c r="E421" s="106" t="s">
        <v>127</v>
      </c>
      <c r="F421" s="109" t="s">
        <v>248</v>
      </c>
      <c r="G421" s="108">
        <f>78-30-3</f>
        <v>45</v>
      </c>
    </row>
    <row r="422" spans="1:7" ht="30">
      <c r="A422" s="86" t="s">
        <v>245</v>
      </c>
      <c r="B422" s="106" t="s">
        <v>199</v>
      </c>
      <c r="C422" s="106" t="s">
        <v>202</v>
      </c>
      <c r="D422" s="106" t="s">
        <v>201</v>
      </c>
      <c r="E422" s="106" t="s">
        <v>127</v>
      </c>
      <c r="F422" s="109" t="s">
        <v>249</v>
      </c>
      <c r="G422" s="108"/>
    </row>
    <row r="423" spans="1:7" ht="30">
      <c r="A423" s="86" t="s">
        <v>246</v>
      </c>
      <c r="B423" s="106" t="s">
        <v>199</v>
      </c>
      <c r="C423" s="106" t="s">
        <v>202</v>
      </c>
      <c r="D423" s="106" t="s">
        <v>201</v>
      </c>
      <c r="E423" s="106" t="s">
        <v>127</v>
      </c>
      <c r="F423" s="109" t="s">
        <v>250</v>
      </c>
      <c r="G423" s="108">
        <v>3.1</v>
      </c>
    </row>
    <row r="424" spans="1:7" ht="42.75">
      <c r="A424" s="87" t="s">
        <v>318</v>
      </c>
      <c r="B424" s="102" t="s">
        <v>28</v>
      </c>
      <c r="C424" s="103"/>
      <c r="D424" s="103"/>
      <c r="E424" s="103"/>
      <c r="F424" s="104"/>
      <c r="G424" s="105">
        <f>G425+G440+G444</f>
        <v>36944.5</v>
      </c>
    </row>
    <row r="425" spans="1:7" ht="30">
      <c r="A425" s="75" t="s">
        <v>49</v>
      </c>
      <c r="B425" s="106" t="s">
        <v>28</v>
      </c>
      <c r="C425" s="106" t="s">
        <v>50</v>
      </c>
      <c r="D425" s="106"/>
      <c r="E425" s="106"/>
      <c r="F425" s="107"/>
      <c r="G425" s="108">
        <f>G426</f>
        <v>12560.1</v>
      </c>
    </row>
    <row r="426" spans="1:7" ht="47.25">
      <c r="A426" s="129" t="s">
        <v>141</v>
      </c>
      <c r="B426" s="106" t="s">
        <v>28</v>
      </c>
      <c r="C426" s="106" t="s">
        <v>50</v>
      </c>
      <c r="D426" s="106" t="s">
        <v>51</v>
      </c>
      <c r="E426" s="106"/>
      <c r="F426" s="107"/>
      <c r="G426" s="108">
        <f>G427+G429+G436</f>
        <v>12560.1</v>
      </c>
    </row>
    <row r="427" spans="1:7" ht="15">
      <c r="A427" s="86" t="s">
        <v>146</v>
      </c>
      <c r="B427" s="106" t="s">
        <v>28</v>
      </c>
      <c r="C427" s="106" t="s">
        <v>50</v>
      </c>
      <c r="D427" s="106" t="s">
        <v>51</v>
      </c>
      <c r="E427" s="106" t="s">
        <v>124</v>
      </c>
      <c r="F427" s="109"/>
      <c r="G427" s="108">
        <f>G428</f>
        <v>363.2</v>
      </c>
    </row>
    <row r="428" spans="1:7" ht="30">
      <c r="A428" s="75" t="s">
        <v>262</v>
      </c>
      <c r="B428" s="106" t="s">
        <v>28</v>
      </c>
      <c r="C428" s="106" t="s">
        <v>50</v>
      </c>
      <c r="D428" s="106" t="s">
        <v>51</v>
      </c>
      <c r="E428" s="106" t="s">
        <v>124</v>
      </c>
      <c r="F428" s="109" t="s">
        <v>248</v>
      </c>
      <c r="G428" s="108">
        <v>363.2</v>
      </c>
    </row>
    <row r="429" spans="1:7" ht="24" customHeight="1">
      <c r="A429" s="75" t="s">
        <v>148</v>
      </c>
      <c r="B429" s="106" t="s">
        <v>28</v>
      </c>
      <c r="C429" s="106" t="s">
        <v>50</v>
      </c>
      <c r="D429" s="106" t="s">
        <v>51</v>
      </c>
      <c r="E429" s="106" t="s">
        <v>226</v>
      </c>
      <c r="F429" s="107"/>
      <c r="G429" s="108">
        <f>G430+G432+G433+G434+G435+G431</f>
        <v>12096.9</v>
      </c>
    </row>
    <row r="430" spans="1:7" ht="15">
      <c r="A430" s="86" t="s">
        <v>242</v>
      </c>
      <c r="B430" s="106" t="s">
        <v>28</v>
      </c>
      <c r="C430" s="106" t="s">
        <v>50</v>
      </c>
      <c r="D430" s="106" t="s">
        <v>51</v>
      </c>
      <c r="E430" s="106" t="s">
        <v>226</v>
      </c>
      <c r="F430" s="109" t="s">
        <v>258</v>
      </c>
      <c r="G430" s="108">
        <f>((9059-212)*1.01375)+119.7+31+620</f>
        <v>9739.3</v>
      </c>
    </row>
    <row r="431" spans="1:7" ht="30">
      <c r="A431" s="86" t="s">
        <v>243</v>
      </c>
      <c r="B431" s="106" t="s">
        <v>28</v>
      </c>
      <c r="C431" s="106" t="s">
        <v>50</v>
      </c>
      <c r="D431" s="106" t="s">
        <v>51</v>
      </c>
      <c r="E431" s="106" t="s">
        <v>226</v>
      </c>
      <c r="F431" s="109" t="s">
        <v>264</v>
      </c>
      <c r="G431" s="108">
        <v>1.2</v>
      </c>
    </row>
    <row r="432" spans="1:7" ht="30">
      <c r="A432" s="86" t="s">
        <v>244</v>
      </c>
      <c r="B432" s="106" t="s">
        <v>28</v>
      </c>
      <c r="C432" s="106" t="s">
        <v>50</v>
      </c>
      <c r="D432" s="106" t="s">
        <v>51</v>
      </c>
      <c r="E432" s="106" t="s">
        <v>226</v>
      </c>
      <c r="F432" s="109" t="s">
        <v>247</v>
      </c>
      <c r="G432" s="108">
        <f>388+26.3</f>
        <v>414.3</v>
      </c>
    </row>
    <row r="433" spans="1:7" ht="30">
      <c r="A433" s="75" t="s">
        <v>262</v>
      </c>
      <c r="B433" s="106" t="s">
        <v>28</v>
      </c>
      <c r="C433" s="106" t="s">
        <v>50</v>
      </c>
      <c r="D433" s="106" t="s">
        <v>51</v>
      </c>
      <c r="E433" s="106" t="s">
        <v>226</v>
      </c>
      <c r="F433" s="109" t="s">
        <v>248</v>
      </c>
      <c r="G433" s="108">
        <f>2250.3+41.6-700+531.4-1.2-285</f>
        <v>1837.1</v>
      </c>
    </row>
    <row r="434" spans="1:7" ht="30">
      <c r="A434" s="86" t="s">
        <v>245</v>
      </c>
      <c r="B434" s="106" t="s">
        <v>28</v>
      </c>
      <c r="C434" s="106" t="s">
        <v>50</v>
      </c>
      <c r="D434" s="106" t="s">
        <v>51</v>
      </c>
      <c r="E434" s="106" t="s">
        <v>226</v>
      </c>
      <c r="F434" s="109" t="s">
        <v>249</v>
      </c>
      <c r="G434" s="108">
        <f>96-8.2</f>
        <v>87.8</v>
      </c>
    </row>
    <row r="435" spans="1:7" ht="30">
      <c r="A435" s="86" t="s">
        <v>246</v>
      </c>
      <c r="B435" s="106" t="s">
        <v>28</v>
      </c>
      <c r="C435" s="106" t="s">
        <v>50</v>
      </c>
      <c r="D435" s="106" t="s">
        <v>51</v>
      </c>
      <c r="E435" s="106" t="s">
        <v>226</v>
      </c>
      <c r="F435" s="109" t="s">
        <v>250</v>
      </c>
      <c r="G435" s="108">
        <f>9+8.2</f>
        <v>17.2</v>
      </c>
    </row>
    <row r="436" spans="1:7" ht="30">
      <c r="A436" s="75" t="s">
        <v>154</v>
      </c>
      <c r="B436" s="106" t="s">
        <v>28</v>
      </c>
      <c r="C436" s="106" t="s">
        <v>50</v>
      </c>
      <c r="D436" s="106" t="s">
        <v>51</v>
      </c>
      <c r="E436" s="106" t="s">
        <v>177</v>
      </c>
      <c r="F436" s="107"/>
      <c r="G436" s="108">
        <f>G437</f>
        <v>100</v>
      </c>
    </row>
    <row r="437" spans="1:7" ht="60">
      <c r="A437" s="77" t="s">
        <v>352</v>
      </c>
      <c r="B437" s="106" t="s">
        <v>28</v>
      </c>
      <c r="C437" s="106" t="s">
        <v>50</v>
      </c>
      <c r="D437" s="106" t="s">
        <v>51</v>
      </c>
      <c r="E437" s="106" t="s">
        <v>227</v>
      </c>
      <c r="F437" s="107"/>
      <c r="G437" s="108">
        <f>G438</f>
        <v>100</v>
      </c>
    </row>
    <row r="438" spans="1:7" ht="30">
      <c r="A438" s="75" t="s">
        <v>262</v>
      </c>
      <c r="B438" s="106" t="s">
        <v>28</v>
      </c>
      <c r="C438" s="106" t="s">
        <v>50</v>
      </c>
      <c r="D438" s="106" t="s">
        <v>51</v>
      </c>
      <c r="E438" s="106" t="s">
        <v>227</v>
      </c>
      <c r="F438" s="107" t="s">
        <v>248</v>
      </c>
      <c r="G438" s="108">
        <f>200-100</f>
        <v>100</v>
      </c>
    </row>
    <row r="439" spans="1:7" ht="15">
      <c r="A439" s="75" t="s">
        <v>79</v>
      </c>
      <c r="B439" s="106" t="s">
        <v>28</v>
      </c>
      <c r="C439" s="106" t="s">
        <v>47</v>
      </c>
      <c r="D439" s="106"/>
      <c r="E439" s="106"/>
      <c r="F439" s="107"/>
      <c r="G439" s="108">
        <f>G440</f>
        <v>100</v>
      </c>
    </row>
    <row r="440" spans="1:7" ht="15">
      <c r="A440" s="75" t="s">
        <v>151</v>
      </c>
      <c r="B440" s="106" t="s">
        <v>28</v>
      </c>
      <c r="C440" s="106" t="s">
        <v>47</v>
      </c>
      <c r="D440" s="106" t="s">
        <v>136</v>
      </c>
      <c r="E440" s="106"/>
      <c r="F440" s="107"/>
      <c r="G440" s="108">
        <f>G441</f>
        <v>100</v>
      </c>
    </row>
    <row r="441" spans="1:7" ht="30">
      <c r="A441" s="75" t="s">
        <v>152</v>
      </c>
      <c r="B441" s="106" t="s">
        <v>28</v>
      </c>
      <c r="C441" s="106" t="s">
        <v>47</v>
      </c>
      <c r="D441" s="106" t="s">
        <v>136</v>
      </c>
      <c r="E441" s="106" t="s">
        <v>153</v>
      </c>
      <c r="F441" s="107"/>
      <c r="G441" s="108">
        <f>G442</f>
        <v>100</v>
      </c>
    </row>
    <row r="442" spans="1:7" ht="30">
      <c r="A442" s="75" t="s">
        <v>262</v>
      </c>
      <c r="B442" s="106" t="s">
        <v>28</v>
      </c>
      <c r="C442" s="106" t="s">
        <v>47</v>
      </c>
      <c r="D442" s="106" t="s">
        <v>136</v>
      </c>
      <c r="E442" s="106" t="s">
        <v>153</v>
      </c>
      <c r="F442" s="107" t="s">
        <v>248</v>
      </c>
      <c r="G442" s="108">
        <f>335-235</f>
        <v>100</v>
      </c>
    </row>
    <row r="443" spans="1:7" ht="15">
      <c r="A443" s="89" t="s">
        <v>25</v>
      </c>
      <c r="B443" s="106" t="s">
        <v>34</v>
      </c>
      <c r="C443" s="106" t="s">
        <v>71</v>
      </c>
      <c r="D443" s="106"/>
      <c r="E443" s="148" t="s">
        <v>386</v>
      </c>
      <c r="F443" s="148" t="s">
        <v>386</v>
      </c>
      <c r="G443" s="153">
        <f>G444</f>
        <v>24284.4</v>
      </c>
    </row>
    <row r="444" spans="1:7" ht="15">
      <c r="A444" s="75" t="s">
        <v>74</v>
      </c>
      <c r="B444" s="106" t="s">
        <v>34</v>
      </c>
      <c r="C444" s="106" t="s">
        <v>71</v>
      </c>
      <c r="D444" s="106" t="s">
        <v>75</v>
      </c>
      <c r="E444" s="148" t="s">
        <v>386</v>
      </c>
      <c r="F444" s="148" t="s">
        <v>386</v>
      </c>
      <c r="G444" s="153">
        <f>G445+G447</f>
        <v>24284.4</v>
      </c>
    </row>
    <row r="445" spans="1:7" ht="45">
      <c r="A445" s="147" t="s">
        <v>562</v>
      </c>
      <c r="B445" s="148" t="s">
        <v>28</v>
      </c>
      <c r="C445" s="106" t="s">
        <v>71</v>
      </c>
      <c r="D445" s="106" t="s">
        <v>75</v>
      </c>
      <c r="E445" s="148" t="s">
        <v>563</v>
      </c>
      <c r="F445" s="148" t="s">
        <v>386</v>
      </c>
      <c r="G445" s="108">
        <f>G446</f>
        <v>22680</v>
      </c>
    </row>
    <row r="446" spans="1:7" ht="46.5" customHeight="1">
      <c r="A446" s="147" t="s">
        <v>0</v>
      </c>
      <c r="B446" s="146" t="s">
        <v>28</v>
      </c>
      <c r="C446" s="106" t="s">
        <v>71</v>
      </c>
      <c r="D446" s="106" t="s">
        <v>75</v>
      </c>
      <c r="E446" s="149" t="s">
        <v>563</v>
      </c>
      <c r="F446" s="149" t="s">
        <v>1</v>
      </c>
      <c r="G446" s="108">
        <f>21530+1150</f>
        <v>22680</v>
      </c>
    </row>
    <row r="447" spans="1:7" ht="15">
      <c r="A447" s="86" t="s">
        <v>146</v>
      </c>
      <c r="B447" s="106" t="s">
        <v>28</v>
      </c>
      <c r="C447" s="106" t="s">
        <v>71</v>
      </c>
      <c r="D447" s="106" t="s">
        <v>75</v>
      </c>
      <c r="E447" s="106" t="s">
        <v>124</v>
      </c>
      <c r="F447" s="107"/>
      <c r="G447" s="108">
        <f>G448</f>
        <v>1604.4</v>
      </c>
    </row>
    <row r="448" spans="1:7" ht="45">
      <c r="A448" s="147" t="s">
        <v>0</v>
      </c>
      <c r="B448" s="148" t="s">
        <v>28</v>
      </c>
      <c r="C448" s="106" t="s">
        <v>71</v>
      </c>
      <c r="D448" s="106" t="s">
        <v>75</v>
      </c>
      <c r="E448" s="148" t="s">
        <v>124</v>
      </c>
      <c r="F448" s="148" t="s">
        <v>1</v>
      </c>
      <c r="G448" s="108">
        <f>1594.4+10</f>
        <v>1604.4</v>
      </c>
    </row>
    <row r="449" spans="1:7" ht="42.75">
      <c r="A449" s="87" t="s">
        <v>312</v>
      </c>
      <c r="B449" s="102" t="s">
        <v>34</v>
      </c>
      <c r="C449" s="106"/>
      <c r="D449" s="106"/>
      <c r="E449" s="106"/>
      <c r="F449" s="107"/>
      <c r="G449" s="105">
        <f>G450+G612+G628+G605</f>
        <v>791222.1</v>
      </c>
    </row>
    <row r="450" spans="1:7" ht="15">
      <c r="A450" s="75" t="s">
        <v>30</v>
      </c>
      <c r="B450" s="106" t="s">
        <v>34</v>
      </c>
      <c r="C450" s="106" t="s">
        <v>52</v>
      </c>
      <c r="D450" s="106"/>
      <c r="E450" s="106"/>
      <c r="F450" s="107"/>
      <c r="G450" s="108">
        <f>G451+G467+G507+G519</f>
        <v>747700.3</v>
      </c>
    </row>
    <row r="451" spans="1:7" ht="15">
      <c r="A451" s="75" t="s">
        <v>31</v>
      </c>
      <c r="B451" s="106" t="s">
        <v>34</v>
      </c>
      <c r="C451" s="106" t="s">
        <v>52</v>
      </c>
      <c r="D451" s="106" t="s">
        <v>53</v>
      </c>
      <c r="E451" s="106"/>
      <c r="F451" s="107"/>
      <c r="G451" s="108">
        <f>G454+G462+G460+G465+G452</f>
        <v>304421.9</v>
      </c>
    </row>
    <row r="452" spans="1:7" ht="45">
      <c r="A452" s="75" t="s">
        <v>570</v>
      </c>
      <c r="B452" s="106" t="s">
        <v>34</v>
      </c>
      <c r="C452" s="106" t="s">
        <v>52</v>
      </c>
      <c r="D452" s="106" t="s">
        <v>53</v>
      </c>
      <c r="E452" s="106" t="s">
        <v>569</v>
      </c>
      <c r="F452" s="107"/>
      <c r="G452" s="108">
        <f>G453</f>
        <v>2451.4</v>
      </c>
    </row>
    <row r="453" spans="1:7" ht="22.5" customHeight="1">
      <c r="A453" s="75" t="s">
        <v>13</v>
      </c>
      <c r="B453" s="106" t="s">
        <v>34</v>
      </c>
      <c r="C453" s="106" t="s">
        <v>52</v>
      </c>
      <c r="D453" s="106" t="s">
        <v>53</v>
      </c>
      <c r="E453" s="106" t="s">
        <v>569</v>
      </c>
      <c r="F453" s="107" t="s">
        <v>12</v>
      </c>
      <c r="G453" s="108">
        <v>2451.4</v>
      </c>
    </row>
    <row r="454" spans="1:7" ht="15">
      <c r="A454" s="75" t="s">
        <v>32</v>
      </c>
      <c r="B454" s="106" t="s">
        <v>34</v>
      </c>
      <c r="C454" s="106" t="s">
        <v>52</v>
      </c>
      <c r="D454" s="106" t="s">
        <v>53</v>
      </c>
      <c r="E454" s="106" t="s">
        <v>54</v>
      </c>
      <c r="F454" s="107"/>
      <c r="G454" s="108">
        <f>G455+G458</f>
        <v>206964.5</v>
      </c>
    </row>
    <row r="455" spans="1:7" ht="30">
      <c r="A455" s="75" t="s">
        <v>275</v>
      </c>
      <c r="B455" s="106" t="s">
        <v>34</v>
      </c>
      <c r="C455" s="106" t="s">
        <v>52</v>
      </c>
      <c r="D455" s="106" t="s">
        <v>53</v>
      </c>
      <c r="E455" s="106" t="s">
        <v>315</v>
      </c>
      <c r="F455" s="107"/>
      <c r="G455" s="108">
        <f>G456+G457</f>
        <v>198817.6</v>
      </c>
    </row>
    <row r="456" spans="1:7" ht="60">
      <c r="A456" s="86" t="s">
        <v>14</v>
      </c>
      <c r="B456" s="106" t="s">
        <v>34</v>
      </c>
      <c r="C456" s="106" t="s">
        <v>52</v>
      </c>
      <c r="D456" s="106" t="s">
        <v>53</v>
      </c>
      <c r="E456" s="106" t="s">
        <v>315</v>
      </c>
      <c r="F456" s="109" t="s">
        <v>11</v>
      </c>
      <c r="G456" s="108">
        <f>202261.2+1539.9+327.5-5571.1</f>
        <v>198557.5</v>
      </c>
    </row>
    <row r="457" spans="1:7" ht="30">
      <c r="A457" s="75" t="s">
        <v>13</v>
      </c>
      <c r="B457" s="106" t="s">
        <v>34</v>
      </c>
      <c r="C457" s="106" t="s">
        <v>52</v>
      </c>
      <c r="D457" s="106" t="s">
        <v>53</v>
      </c>
      <c r="E457" s="106" t="s">
        <v>315</v>
      </c>
      <c r="F457" s="109" t="s">
        <v>12</v>
      </c>
      <c r="G457" s="108">
        <f>255.7+4.4</f>
        <v>260.1</v>
      </c>
    </row>
    <row r="458" spans="1:7" ht="30">
      <c r="A458" s="86" t="s">
        <v>429</v>
      </c>
      <c r="B458" s="106" t="s">
        <v>34</v>
      </c>
      <c r="C458" s="106" t="s">
        <v>52</v>
      </c>
      <c r="D458" s="106" t="s">
        <v>53</v>
      </c>
      <c r="E458" s="106" t="s">
        <v>428</v>
      </c>
      <c r="F458" s="109"/>
      <c r="G458" s="108">
        <f>G459</f>
        <v>8146.9</v>
      </c>
    </row>
    <row r="459" spans="1:7" ht="30">
      <c r="A459" s="75" t="s">
        <v>13</v>
      </c>
      <c r="B459" s="106" t="s">
        <v>34</v>
      </c>
      <c r="C459" s="106" t="s">
        <v>52</v>
      </c>
      <c r="D459" s="106" t="s">
        <v>53</v>
      </c>
      <c r="E459" s="106" t="s">
        <v>428</v>
      </c>
      <c r="F459" s="109" t="s">
        <v>12</v>
      </c>
      <c r="G459" s="108">
        <v>8146.9</v>
      </c>
    </row>
    <row r="460" spans="1:7" ht="54.75" customHeight="1">
      <c r="A460" s="75" t="s">
        <v>559</v>
      </c>
      <c r="B460" s="106" t="s">
        <v>34</v>
      </c>
      <c r="C460" s="106" t="s">
        <v>52</v>
      </c>
      <c r="D460" s="106" t="s">
        <v>53</v>
      </c>
      <c r="E460" s="106" t="s">
        <v>560</v>
      </c>
      <c r="F460" s="109"/>
      <c r="G460" s="108">
        <f>G461</f>
        <v>93771.4</v>
      </c>
    </row>
    <row r="461" spans="1:7" ht="30">
      <c r="A461" s="75" t="s">
        <v>13</v>
      </c>
      <c r="B461" s="106" t="s">
        <v>34</v>
      </c>
      <c r="C461" s="106" t="s">
        <v>52</v>
      </c>
      <c r="D461" s="106" t="s">
        <v>53</v>
      </c>
      <c r="E461" s="106" t="s">
        <v>560</v>
      </c>
      <c r="F461" s="109" t="s">
        <v>12</v>
      </c>
      <c r="G461" s="108">
        <v>93771.4</v>
      </c>
    </row>
    <row r="462" spans="1:7" ht="94.5" customHeight="1">
      <c r="A462" s="75" t="s">
        <v>237</v>
      </c>
      <c r="B462" s="106" t="s">
        <v>34</v>
      </c>
      <c r="C462" s="106" t="s">
        <v>52</v>
      </c>
      <c r="D462" s="106" t="s">
        <v>53</v>
      </c>
      <c r="E462" s="106" t="s">
        <v>236</v>
      </c>
      <c r="F462" s="107"/>
      <c r="G462" s="108">
        <f>G463</f>
        <v>417.5</v>
      </c>
    </row>
    <row r="463" spans="1:7" ht="45">
      <c r="A463" s="92" t="s">
        <v>163</v>
      </c>
      <c r="B463" s="106" t="s">
        <v>34</v>
      </c>
      <c r="C463" s="106" t="s">
        <v>52</v>
      </c>
      <c r="D463" s="106" t="s">
        <v>53</v>
      </c>
      <c r="E463" s="106" t="s">
        <v>164</v>
      </c>
      <c r="F463" s="107"/>
      <c r="G463" s="108">
        <f>G464</f>
        <v>417.5</v>
      </c>
    </row>
    <row r="464" spans="1:7" ht="18.75" customHeight="1">
      <c r="A464" s="75" t="s">
        <v>13</v>
      </c>
      <c r="B464" s="106" t="s">
        <v>34</v>
      </c>
      <c r="C464" s="106" t="s">
        <v>52</v>
      </c>
      <c r="D464" s="106" t="s">
        <v>53</v>
      </c>
      <c r="E464" s="106" t="s">
        <v>164</v>
      </c>
      <c r="F464" s="107" t="s">
        <v>12</v>
      </c>
      <c r="G464" s="108">
        <f>393.9+23.6</f>
        <v>417.5</v>
      </c>
    </row>
    <row r="465" spans="1:7" ht="18.75" customHeight="1">
      <c r="A465" s="75" t="s">
        <v>568</v>
      </c>
      <c r="B465" s="106" t="s">
        <v>34</v>
      </c>
      <c r="C465" s="106" t="s">
        <v>52</v>
      </c>
      <c r="D465" s="106" t="s">
        <v>53</v>
      </c>
      <c r="E465" s="106" t="s">
        <v>567</v>
      </c>
      <c r="F465" s="107"/>
      <c r="G465" s="108">
        <f>G466</f>
        <v>817.1</v>
      </c>
    </row>
    <row r="466" spans="1:7" ht="18.75" customHeight="1">
      <c r="A466" s="75" t="s">
        <v>13</v>
      </c>
      <c r="B466" s="106" t="s">
        <v>34</v>
      </c>
      <c r="C466" s="106" t="s">
        <v>52</v>
      </c>
      <c r="D466" s="106" t="s">
        <v>53</v>
      </c>
      <c r="E466" s="106" t="s">
        <v>567</v>
      </c>
      <c r="F466" s="107" t="s">
        <v>12</v>
      </c>
      <c r="G466" s="108">
        <v>817.1</v>
      </c>
    </row>
    <row r="467" spans="1:7" ht="15">
      <c r="A467" s="75" t="s">
        <v>33</v>
      </c>
      <c r="B467" s="106" t="s">
        <v>34</v>
      </c>
      <c r="C467" s="106" t="s">
        <v>52</v>
      </c>
      <c r="D467" s="106" t="s">
        <v>55</v>
      </c>
      <c r="E467" s="106"/>
      <c r="F467" s="107"/>
      <c r="G467" s="108">
        <f>G472+G481+G490+G505+G468+G487+G470</f>
        <v>359359</v>
      </c>
    </row>
    <row r="468" spans="1:7" ht="15">
      <c r="A468" s="75" t="s">
        <v>146</v>
      </c>
      <c r="B468" s="106" t="s">
        <v>34</v>
      </c>
      <c r="C468" s="106" t="s">
        <v>52</v>
      </c>
      <c r="D468" s="106" t="s">
        <v>55</v>
      </c>
      <c r="E468" s="106" t="s">
        <v>124</v>
      </c>
      <c r="F468" s="107"/>
      <c r="G468" s="108">
        <f>G469</f>
        <v>96.1</v>
      </c>
    </row>
    <row r="469" spans="1:7" ht="30">
      <c r="A469" s="75" t="s">
        <v>13</v>
      </c>
      <c r="B469" s="106" t="s">
        <v>34</v>
      </c>
      <c r="C469" s="106" t="s">
        <v>52</v>
      </c>
      <c r="D469" s="106" t="s">
        <v>55</v>
      </c>
      <c r="E469" s="106" t="s">
        <v>124</v>
      </c>
      <c r="F469" s="107" t="s">
        <v>12</v>
      </c>
      <c r="G469" s="108">
        <v>96.1</v>
      </c>
    </row>
    <row r="470" spans="1:7" ht="75">
      <c r="A470" s="75" t="s">
        <v>573</v>
      </c>
      <c r="B470" s="106" t="s">
        <v>34</v>
      </c>
      <c r="C470" s="106" t="s">
        <v>52</v>
      </c>
      <c r="D470" s="106" t="s">
        <v>55</v>
      </c>
      <c r="E470" s="106" t="s">
        <v>574</v>
      </c>
      <c r="F470" s="107"/>
      <c r="G470" s="108">
        <f>G471</f>
        <v>1211.8</v>
      </c>
    </row>
    <row r="471" spans="1:7" ht="30">
      <c r="A471" s="75" t="s">
        <v>13</v>
      </c>
      <c r="B471" s="106" t="s">
        <v>34</v>
      </c>
      <c r="C471" s="106" t="s">
        <v>52</v>
      </c>
      <c r="D471" s="106" t="s">
        <v>55</v>
      </c>
      <c r="E471" s="106" t="s">
        <v>574</v>
      </c>
      <c r="F471" s="107" t="s">
        <v>12</v>
      </c>
      <c r="G471" s="108">
        <v>1211.8</v>
      </c>
    </row>
    <row r="472" spans="1:7" ht="30">
      <c r="A472" s="75" t="s">
        <v>266</v>
      </c>
      <c r="B472" s="106" t="s">
        <v>34</v>
      </c>
      <c r="C472" s="106" t="s">
        <v>52</v>
      </c>
      <c r="D472" s="106" t="s">
        <v>55</v>
      </c>
      <c r="E472" s="106" t="s">
        <v>56</v>
      </c>
      <c r="F472" s="107"/>
      <c r="G472" s="108">
        <f>G473+G478</f>
        <v>60325</v>
      </c>
    </row>
    <row r="473" spans="1:7" ht="30">
      <c r="A473" s="75" t="s">
        <v>275</v>
      </c>
      <c r="B473" s="106" t="s">
        <v>34</v>
      </c>
      <c r="C473" s="106" t="s">
        <v>52</v>
      </c>
      <c r="D473" s="106" t="s">
        <v>55</v>
      </c>
      <c r="E473" s="106" t="s">
        <v>126</v>
      </c>
      <c r="F473" s="107"/>
      <c r="G473" s="108">
        <f>G474+G476+G475+G477</f>
        <v>48762.4</v>
      </c>
    </row>
    <row r="474" spans="1:7" ht="60">
      <c r="A474" s="86" t="s">
        <v>274</v>
      </c>
      <c r="B474" s="106" t="s">
        <v>34</v>
      </c>
      <c r="C474" s="106" t="s">
        <v>52</v>
      </c>
      <c r="D474" s="106" t="s">
        <v>55</v>
      </c>
      <c r="E474" s="106" t="s">
        <v>126</v>
      </c>
      <c r="F474" s="109" t="s">
        <v>9</v>
      </c>
      <c r="G474" s="108">
        <f>6570.6+310.1+282.3+55</f>
        <v>7218</v>
      </c>
    </row>
    <row r="475" spans="1:7" ht="30">
      <c r="A475" s="86" t="s">
        <v>8</v>
      </c>
      <c r="B475" s="106" t="s">
        <v>34</v>
      </c>
      <c r="C475" s="106" t="s">
        <v>52</v>
      </c>
      <c r="D475" s="106" t="s">
        <v>55</v>
      </c>
      <c r="E475" s="106" t="s">
        <v>126</v>
      </c>
      <c r="F475" s="109" t="s">
        <v>10</v>
      </c>
      <c r="G475" s="108">
        <f>36.8+6</f>
        <v>42.8</v>
      </c>
    </row>
    <row r="476" spans="1:7" ht="60">
      <c r="A476" s="86" t="s">
        <v>14</v>
      </c>
      <c r="B476" s="106" t="s">
        <v>34</v>
      </c>
      <c r="C476" s="106" t="s">
        <v>52</v>
      </c>
      <c r="D476" s="106" t="s">
        <v>55</v>
      </c>
      <c r="E476" s="106" t="s">
        <v>126</v>
      </c>
      <c r="F476" s="107" t="s">
        <v>11</v>
      </c>
      <c r="G476" s="108">
        <f>37365.3+1922+1592.2+299.2</f>
        <v>41178.7</v>
      </c>
    </row>
    <row r="477" spans="1:7" ht="30">
      <c r="A477" s="86" t="s">
        <v>13</v>
      </c>
      <c r="B477" s="106" t="s">
        <v>34</v>
      </c>
      <c r="C477" s="106" t="s">
        <v>52</v>
      </c>
      <c r="D477" s="106" t="s">
        <v>55</v>
      </c>
      <c r="E477" s="106" t="s">
        <v>126</v>
      </c>
      <c r="F477" s="107" t="s">
        <v>12</v>
      </c>
      <c r="G477" s="108">
        <f>316.9+6</f>
        <v>322.9</v>
      </c>
    </row>
    <row r="478" spans="1:7" ht="30">
      <c r="A478" s="86" t="s">
        <v>429</v>
      </c>
      <c r="B478" s="106" t="s">
        <v>34</v>
      </c>
      <c r="C478" s="106" t="s">
        <v>52</v>
      </c>
      <c r="D478" s="106" t="s">
        <v>55</v>
      </c>
      <c r="E478" s="106" t="s">
        <v>430</v>
      </c>
      <c r="F478" s="107"/>
      <c r="G478" s="108">
        <f>G479+G480</f>
        <v>11562.6</v>
      </c>
    </row>
    <row r="479" spans="1:7" ht="30">
      <c r="A479" s="86" t="s">
        <v>8</v>
      </c>
      <c r="B479" s="106" t="s">
        <v>34</v>
      </c>
      <c r="C479" s="106" t="s">
        <v>52</v>
      </c>
      <c r="D479" s="106" t="s">
        <v>55</v>
      </c>
      <c r="E479" s="106" t="s">
        <v>430</v>
      </c>
      <c r="F479" s="107" t="s">
        <v>10</v>
      </c>
      <c r="G479" s="108">
        <v>1250.6</v>
      </c>
    </row>
    <row r="480" spans="1:7" ht="30">
      <c r="A480" s="86" t="s">
        <v>13</v>
      </c>
      <c r="B480" s="106" t="s">
        <v>34</v>
      </c>
      <c r="C480" s="106" t="s">
        <v>52</v>
      </c>
      <c r="D480" s="106" t="s">
        <v>55</v>
      </c>
      <c r="E480" s="106" t="s">
        <v>430</v>
      </c>
      <c r="F480" s="107" t="s">
        <v>12</v>
      </c>
      <c r="G480" s="108">
        <v>10312</v>
      </c>
    </row>
    <row r="481" spans="1:7" ht="15">
      <c r="A481" s="75" t="s">
        <v>111</v>
      </c>
      <c r="B481" s="106" t="s">
        <v>34</v>
      </c>
      <c r="C481" s="106" t="s">
        <v>52</v>
      </c>
      <c r="D481" s="106" t="s">
        <v>55</v>
      </c>
      <c r="E481" s="106" t="s">
        <v>58</v>
      </c>
      <c r="F481" s="107"/>
      <c r="G481" s="108">
        <f>G482+G485</f>
        <v>48432.4</v>
      </c>
    </row>
    <row r="482" spans="1:7" ht="30">
      <c r="A482" s="75" t="s">
        <v>275</v>
      </c>
      <c r="B482" s="106" t="s">
        <v>34</v>
      </c>
      <c r="C482" s="106" t="s">
        <v>52</v>
      </c>
      <c r="D482" s="106" t="s">
        <v>55</v>
      </c>
      <c r="E482" s="106" t="s">
        <v>313</v>
      </c>
      <c r="F482" s="107"/>
      <c r="G482" s="108">
        <f>G483+G484</f>
        <v>46592.2</v>
      </c>
    </row>
    <row r="483" spans="1:7" ht="60">
      <c r="A483" s="86" t="s">
        <v>14</v>
      </c>
      <c r="B483" s="106" t="s">
        <v>34</v>
      </c>
      <c r="C483" s="106" t="s">
        <v>52</v>
      </c>
      <c r="D483" s="106" t="s">
        <v>55</v>
      </c>
      <c r="E483" s="106" t="s">
        <v>313</v>
      </c>
      <c r="F483" s="107" t="s">
        <v>11</v>
      </c>
      <c r="G483" s="108">
        <f>43629.7+273+42.7+2605</f>
        <v>46550.4</v>
      </c>
    </row>
    <row r="484" spans="1:7" ht="30">
      <c r="A484" s="86" t="s">
        <v>13</v>
      </c>
      <c r="B484" s="106" t="s">
        <v>34</v>
      </c>
      <c r="C484" s="106" t="s">
        <v>52</v>
      </c>
      <c r="D484" s="106" t="s">
        <v>55</v>
      </c>
      <c r="E484" s="106" t="s">
        <v>313</v>
      </c>
      <c r="F484" s="107" t="s">
        <v>12</v>
      </c>
      <c r="G484" s="108">
        <f>41.6+0.2</f>
        <v>41.8</v>
      </c>
    </row>
    <row r="485" spans="1:7" ht="30">
      <c r="A485" s="86" t="s">
        <v>429</v>
      </c>
      <c r="B485" s="106" t="s">
        <v>34</v>
      </c>
      <c r="C485" s="106" t="s">
        <v>52</v>
      </c>
      <c r="D485" s="106" t="s">
        <v>55</v>
      </c>
      <c r="E485" s="106" t="s">
        <v>431</v>
      </c>
      <c r="F485" s="107"/>
      <c r="G485" s="108">
        <f>G486</f>
        <v>1840.2</v>
      </c>
    </row>
    <row r="486" spans="1:7" ht="30">
      <c r="A486" s="86" t="s">
        <v>13</v>
      </c>
      <c r="B486" s="106" t="s">
        <v>34</v>
      </c>
      <c r="C486" s="106" t="s">
        <v>52</v>
      </c>
      <c r="D486" s="106" t="s">
        <v>55</v>
      </c>
      <c r="E486" s="106" t="s">
        <v>431</v>
      </c>
      <c r="F486" s="107" t="s">
        <v>12</v>
      </c>
      <c r="G486" s="108">
        <v>1840.2</v>
      </c>
    </row>
    <row r="487" spans="1:7" ht="30">
      <c r="A487" s="144" t="s">
        <v>534</v>
      </c>
      <c r="B487" s="106" t="s">
        <v>34</v>
      </c>
      <c r="C487" s="106" t="s">
        <v>52</v>
      </c>
      <c r="D487" s="106" t="s">
        <v>55</v>
      </c>
      <c r="E487" s="106" t="s">
        <v>535</v>
      </c>
      <c r="F487" s="107"/>
      <c r="G487" s="108">
        <f>G488+G489</f>
        <v>5019.3</v>
      </c>
    </row>
    <row r="488" spans="1:7" ht="30">
      <c r="A488" s="86" t="s">
        <v>8</v>
      </c>
      <c r="B488" s="106" t="s">
        <v>34</v>
      </c>
      <c r="C488" s="106" t="s">
        <v>52</v>
      </c>
      <c r="D488" s="106" t="s">
        <v>55</v>
      </c>
      <c r="E488" s="106" t="s">
        <v>535</v>
      </c>
      <c r="F488" s="107" t="s">
        <v>10</v>
      </c>
      <c r="G488" s="108">
        <v>21.6</v>
      </c>
    </row>
    <row r="489" spans="1:7" ht="30">
      <c r="A489" s="144" t="s">
        <v>536</v>
      </c>
      <c r="B489" s="106" t="s">
        <v>34</v>
      </c>
      <c r="C489" s="106" t="s">
        <v>52</v>
      </c>
      <c r="D489" s="106" t="s">
        <v>55</v>
      </c>
      <c r="E489" s="106" t="s">
        <v>535</v>
      </c>
      <c r="F489" s="107" t="s">
        <v>12</v>
      </c>
      <c r="G489" s="108">
        <v>4997.7</v>
      </c>
    </row>
    <row r="490" spans="1:7" ht="30">
      <c r="A490" s="75" t="s">
        <v>165</v>
      </c>
      <c r="B490" s="106" t="s">
        <v>34</v>
      </c>
      <c r="C490" s="106" t="s">
        <v>52</v>
      </c>
      <c r="D490" s="106" t="s">
        <v>55</v>
      </c>
      <c r="E490" s="106" t="s">
        <v>166</v>
      </c>
      <c r="F490" s="107"/>
      <c r="G490" s="108">
        <f>G491+G498</f>
        <v>243062.6</v>
      </c>
    </row>
    <row r="491" spans="1:7" ht="30">
      <c r="A491" s="75" t="s">
        <v>267</v>
      </c>
      <c r="B491" s="106" t="s">
        <v>34</v>
      </c>
      <c r="C491" s="106" t="s">
        <v>52</v>
      </c>
      <c r="D491" s="106" t="s">
        <v>55</v>
      </c>
      <c r="E491" s="106" t="s">
        <v>167</v>
      </c>
      <c r="F491" s="107"/>
      <c r="G491" s="108">
        <f>G495+G492</f>
        <v>7199.5</v>
      </c>
    </row>
    <row r="492" spans="1:7" ht="45">
      <c r="A492" s="75" t="s">
        <v>197</v>
      </c>
      <c r="B492" s="106" t="s">
        <v>34</v>
      </c>
      <c r="C492" s="106" t="s">
        <v>52</v>
      </c>
      <c r="D492" s="106" t="s">
        <v>55</v>
      </c>
      <c r="E492" s="106" t="s">
        <v>493</v>
      </c>
      <c r="F492" s="107"/>
      <c r="G492" s="108">
        <f>G493+G494</f>
        <v>5999.5</v>
      </c>
    </row>
    <row r="493" spans="1:7" ht="30">
      <c r="A493" s="86" t="s">
        <v>8</v>
      </c>
      <c r="B493" s="106" t="s">
        <v>34</v>
      </c>
      <c r="C493" s="106" t="s">
        <v>52</v>
      </c>
      <c r="D493" s="106" t="s">
        <v>55</v>
      </c>
      <c r="E493" s="106" t="s">
        <v>493</v>
      </c>
      <c r="F493" s="107" t="s">
        <v>10</v>
      </c>
      <c r="G493" s="108">
        <f>195.7+522-21.8</f>
        <v>695.9</v>
      </c>
    </row>
    <row r="494" spans="1:7" ht="30">
      <c r="A494" s="86" t="s">
        <v>13</v>
      </c>
      <c r="B494" s="106" t="s">
        <v>34</v>
      </c>
      <c r="C494" s="106" t="s">
        <v>52</v>
      </c>
      <c r="D494" s="106" t="s">
        <v>55</v>
      </c>
      <c r="E494" s="106" t="s">
        <v>493</v>
      </c>
      <c r="F494" s="107" t="s">
        <v>12</v>
      </c>
      <c r="G494" s="108">
        <f>1491.7+3977.7-165.8</f>
        <v>5303.6</v>
      </c>
    </row>
    <row r="495" spans="1:7" ht="45">
      <c r="A495" s="75" t="s">
        <v>197</v>
      </c>
      <c r="B495" s="106" t="s">
        <v>34</v>
      </c>
      <c r="C495" s="106" t="s">
        <v>52</v>
      </c>
      <c r="D495" s="106" t="s">
        <v>55</v>
      </c>
      <c r="E495" s="106" t="s">
        <v>168</v>
      </c>
      <c r="F495" s="107"/>
      <c r="G495" s="108">
        <f>G496+G497</f>
        <v>1200</v>
      </c>
    </row>
    <row r="496" spans="1:7" ht="30">
      <c r="A496" s="86" t="s">
        <v>8</v>
      </c>
      <c r="B496" s="106" t="s">
        <v>34</v>
      </c>
      <c r="C496" s="106" t="s">
        <v>52</v>
      </c>
      <c r="D496" s="106" t="s">
        <v>55</v>
      </c>
      <c r="E496" s="106" t="s">
        <v>168</v>
      </c>
      <c r="F496" s="107" t="s">
        <v>10</v>
      </c>
      <c r="G496" s="108">
        <f>835.1-195.7-500.2</f>
        <v>139.2</v>
      </c>
    </row>
    <row r="497" spans="1:7" ht="30">
      <c r="A497" s="86" t="s">
        <v>13</v>
      </c>
      <c r="B497" s="106" t="s">
        <v>34</v>
      </c>
      <c r="C497" s="106" t="s">
        <v>52</v>
      </c>
      <c r="D497" s="106" t="s">
        <v>55</v>
      </c>
      <c r="E497" s="106" t="s">
        <v>168</v>
      </c>
      <c r="F497" s="107" t="s">
        <v>12</v>
      </c>
      <c r="G497" s="108">
        <f>6364.4-1491.7-3811.9</f>
        <v>1060.8</v>
      </c>
    </row>
    <row r="498" spans="1:7" ht="45">
      <c r="A498" s="75" t="s">
        <v>169</v>
      </c>
      <c r="B498" s="106" t="s">
        <v>34</v>
      </c>
      <c r="C498" s="106" t="s">
        <v>52</v>
      </c>
      <c r="D498" s="106" t="s">
        <v>55</v>
      </c>
      <c r="E498" s="106" t="s">
        <v>360</v>
      </c>
      <c r="F498" s="107"/>
      <c r="G498" s="108">
        <f>G499+G502</f>
        <v>235863.1</v>
      </c>
    </row>
    <row r="499" spans="1:7" ht="15">
      <c r="A499" s="75" t="s">
        <v>265</v>
      </c>
      <c r="B499" s="106" t="s">
        <v>34</v>
      </c>
      <c r="C499" s="106" t="s">
        <v>52</v>
      </c>
      <c r="D499" s="106" t="s">
        <v>55</v>
      </c>
      <c r="E499" s="106" t="s">
        <v>360</v>
      </c>
      <c r="F499" s="107" t="s">
        <v>255</v>
      </c>
      <c r="G499" s="108">
        <f>G500+G501</f>
        <v>24786.1</v>
      </c>
    </row>
    <row r="500" spans="1:7" ht="60">
      <c r="A500" s="86" t="s">
        <v>274</v>
      </c>
      <c r="B500" s="106" t="s">
        <v>34</v>
      </c>
      <c r="C500" s="106" t="s">
        <v>52</v>
      </c>
      <c r="D500" s="106" t="s">
        <v>55</v>
      </c>
      <c r="E500" s="106" t="s">
        <v>360</v>
      </c>
      <c r="F500" s="107" t="s">
        <v>9</v>
      </c>
      <c r="G500" s="108">
        <f>22655.3-932.9+1832.5+905.2</f>
        <v>24460.1</v>
      </c>
    </row>
    <row r="501" spans="1:7" ht="30">
      <c r="A501" s="86" t="s">
        <v>8</v>
      </c>
      <c r="B501" s="106" t="s">
        <v>34</v>
      </c>
      <c r="C501" s="106" t="s">
        <v>52</v>
      </c>
      <c r="D501" s="106" t="s">
        <v>55</v>
      </c>
      <c r="E501" s="106" t="s">
        <v>360</v>
      </c>
      <c r="F501" s="107" t="s">
        <v>10</v>
      </c>
      <c r="G501" s="108">
        <f>240+86</f>
        <v>326</v>
      </c>
    </row>
    <row r="502" spans="1:7" ht="15">
      <c r="A502" s="86" t="s">
        <v>256</v>
      </c>
      <c r="B502" s="106" t="s">
        <v>34</v>
      </c>
      <c r="C502" s="106" t="s">
        <v>52</v>
      </c>
      <c r="D502" s="106" t="s">
        <v>55</v>
      </c>
      <c r="E502" s="106" t="s">
        <v>360</v>
      </c>
      <c r="F502" s="107" t="s">
        <v>257</v>
      </c>
      <c r="G502" s="108">
        <f>G503+G504</f>
        <v>211077</v>
      </c>
    </row>
    <row r="503" spans="1:7" ht="60">
      <c r="A503" s="86" t="s">
        <v>14</v>
      </c>
      <c r="B503" s="106" t="s">
        <v>34</v>
      </c>
      <c r="C503" s="106" t="s">
        <v>52</v>
      </c>
      <c r="D503" s="106" t="s">
        <v>55</v>
      </c>
      <c r="E503" s="106" t="s">
        <v>360</v>
      </c>
      <c r="F503" s="107" t="s">
        <v>11</v>
      </c>
      <c r="G503" s="108">
        <f>204921.8-134.8-157.3-562.5+2374.5</f>
        <v>206441.7</v>
      </c>
    </row>
    <row r="504" spans="1:7" ht="30">
      <c r="A504" s="86" t="s">
        <v>13</v>
      </c>
      <c r="B504" s="106" t="s">
        <v>34</v>
      </c>
      <c r="C504" s="106" t="s">
        <v>52</v>
      </c>
      <c r="D504" s="106" t="s">
        <v>55</v>
      </c>
      <c r="E504" s="106" t="s">
        <v>360</v>
      </c>
      <c r="F504" s="107" t="s">
        <v>12</v>
      </c>
      <c r="G504" s="108">
        <f>3420+134.8+157.3+562.5+360.7</f>
        <v>4635.3</v>
      </c>
    </row>
    <row r="505" spans="1:7" ht="45">
      <c r="A505" s="133" t="s">
        <v>575</v>
      </c>
      <c r="B505" s="106" t="s">
        <v>34</v>
      </c>
      <c r="C505" s="134" t="s">
        <v>52</v>
      </c>
      <c r="D505" s="134" t="s">
        <v>55</v>
      </c>
      <c r="E505" s="134" t="s">
        <v>529</v>
      </c>
      <c r="F505" s="134" t="s">
        <v>386</v>
      </c>
      <c r="G505" s="108">
        <f>G506</f>
        <v>1211.8</v>
      </c>
    </row>
    <row r="506" spans="1:7" ht="30">
      <c r="A506" s="133" t="s">
        <v>576</v>
      </c>
      <c r="B506" s="106" t="s">
        <v>34</v>
      </c>
      <c r="C506" s="134" t="s">
        <v>52</v>
      </c>
      <c r="D506" s="134" t="s">
        <v>55</v>
      </c>
      <c r="E506" s="134" t="s">
        <v>577</v>
      </c>
      <c r="F506" s="135" t="s">
        <v>12</v>
      </c>
      <c r="G506" s="108">
        <v>1211.8</v>
      </c>
    </row>
    <row r="507" spans="1:7" ht="15">
      <c r="A507" s="75" t="s">
        <v>59</v>
      </c>
      <c r="B507" s="106" t="s">
        <v>34</v>
      </c>
      <c r="C507" s="106" t="s">
        <v>52</v>
      </c>
      <c r="D507" s="106" t="s">
        <v>60</v>
      </c>
      <c r="E507" s="106"/>
      <c r="F507" s="107"/>
      <c r="G507" s="108">
        <f>G508+G511+G516</f>
        <v>11540</v>
      </c>
    </row>
    <row r="508" spans="1:7" ht="15">
      <c r="A508" s="77" t="s">
        <v>340</v>
      </c>
      <c r="B508" s="106" t="s">
        <v>34</v>
      </c>
      <c r="C508" s="106" t="s">
        <v>52</v>
      </c>
      <c r="D508" s="106" t="s">
        <v>60</v>
      </c>
      <c r="E508" s="106" t="s">
        <v>306</v>
      </c>
      <c r="F508" s="107"/>
      <c r="G508" s="108">
        <f>G509+G510</f>
        <v>1370.6</v>
      </c>
    </row>
    <row r="509" spans="1:7" ht="15">
      <c r="A509" s="86" t="s">
        <v>242</v>
      </c>
      <c r="B509" s="106" t="s">
        <v>34</v>
      </c>
      <c r="C509" s="106" t="s">
        <v>52</v>
      </c>
      <c r="D509" s="106" t="s">
        <v>60</v>
      </c>
      <c r="E509" s="106" t="s">
        <v>306</v>
      </c>
      <c r="F509" s="107" t="s">
        <v>258</v>
      </c>
      <c r="G509" s="108">
        <v>1050</v>
      </c>
    </row>
    <row r="510" spans="1:7" ht="30">
      <c r="A510" s="77" t="s">
        <v>262</v>
      </c>
      <c r="B510" s="106" t="s">
        <v>34</v>
      </c>
      <c r="C510" s="106" t="s">
        <v>52</v>
      </c>
      <c r="D510" s="106" t="s">
        <v>60</v>
      </c>
      <c r="E510" s="106" t="s">
        <v>306</v>
      </c>
      <c r="F510" s="107" t="s">
        <v>248</v>
      </c>
      <c r="G510" s="108">
        <v>320.6</v>
      </c>
    </row>
    <row r="511" spans="1:7" ht="30">
      <c r="A511" s="77" t="s">
        <v>348</v>
      </c>
      <c r="B511" s="106" t="s">
        <v>34</v>
      </c>
      <c r="C511" s="106" t="s">
        <v>52</v>
      </c>
      <c r="D511" s="106" t="s">
        <v>60</v>
      </c>
      <c r="E511" s="106" t="s">
        <v>342</v>
      </c>
      <c r="F511" s="107"/>
      <c r="G511" s="108">
        <f>G512+G514</f>
        <v>1755.4</v>
      </c>
    </row>
    <row r="512" spans="1:7" ht="30">
      <c r="A512" s="75" t="s">
        <v>275</v>
      </c>
      <c r="B512" s="106" t="s">
        <v>34</v>
      </c>
      <c r="C512" s="106" t="s">
        <v>52</v>
      </c>
      <c r="D512" s="106" t="s">
        <v>60</v>
      </c>
      <c r="E512" s="106" t="s">
        <v>343</v>
      </c>
      <c r="F512" s="120"/>
      <c r="G512" s="108">
        <f>G513</f>
        <v>1620</v>
      </c>
    </row>
    <row r="513" spans="1:7" ht="60">
      <c r="A513" s="86" t="s">
        <v>274</v>
      </c>
      <c r="B513" s="106" t="s">
        <v>34</v>
      </c>
      <c r="C513" s="106" t="s">
        <v>52</v>
      </c>
      <c r="D513" s="106" t="s">
        <v>60</v>
      </c>
      <c r="E513" s="106" t="s">
        <v>343</v>
      </c>
      <c r="F513" s="107" t="s">
        <v>9</v>
      </c>
      <c r="G513" s="108">
        <f>1603+17</f>
        <v>1620</v>
      </c>
    </row>
    <row r="514" spans="1:7" ht="30">
      <c r="A514" s="86" t="s">
        <v>429</v>
      </c>
      <c r="B514" s="106" t="s">
        <v>34</v>
      </c>
      <c r="C514" s="106" t="s">
        <v>52</v>
      </c>
      <c r="D514" s="106" t="s">
        <v>60</v>
      </c>
      <c r="E514" s="106" t="s">
        <v>433</v>
      </c>
      <c r="F514" s="107"/>
      <c r="G514" s="108">
        <f>G515</f>
        <v>135.4</v>
      </c>
    </row>
    <row r="515" spans="1:7" ht="30">
      <c r="A515" s="86" t="s">
        <v>8</v>
      </c>
      <c r="B515" s="106" t="s">
        <v>34</v>
      </c>
      <c r="C515" s="106" t="s">
        <v>52</v>
      </c>
      <c r="D515" s="106" t="s">
        <v>60</v>
      </c>
      <c r="E515" s="106" t="s">
        <v>433</v>
      </c>
      <c r="F515" s="107" t="s">
        <v>10</v>
      </c>
      <c r="G515" s="108">
        <v>135.4</v>
      </c>
    </row>
    <row r="516" spans="1:7" ht="15">
      <c r="A516" s="86" t="s">
        <v>528</v>
      </c>
      <c r="B516" s="106" t="s">
        <v>34</v>
      </c>
      <c r="C516" s="106" t="s">
        <v>52</v>
      </c>
      <c r="D516" s="106" t="s">
        <v>60</v>
      </c>
      <c r="E516" s="106" t="s">
        <v>529</v>
      </c>
      <c r="F516" s="107"/>
      <c r="G516" s="108">
        <f>G517</f>
        <v>8414</v>
      </c>
    </row>
    <row r="517" spans="1:7" ht="21.75" customHeight="1">
      <c r="A517" s="86" t="s">
        <v>530</v>
      </c>
      <c r="B517" s="106" t="s">
        <v>34</v>
      </c>
      <c r="C517" s="106" t="s">
        <v>52</v>
      </c>
      <c r="D517" s="106" t="s">
        <v>60</v>
      </c>
      <c r="E517" s="106" t="s">
        <v>531</v>
      </c>
      <c r="F517" s="107"/>
      <c r="G517" s="108">
        <f>G518</f>
        <v>8414</v>
      </c>
    </row>
    <row r="518" spans="1:7" ht="30">
      <c r="A518" s="86" t="s">
        <v>558</v>
      </c>
      <c r="B518" s="106" t="s">
        <v>34</v>
      </c>
      <c r="C518" s="106" t="s">
        <v>52</v>
      </c>
      <c r="D518" s="106" t="s">
        <v>60</v>
      </c>
      <c r="E518" s="106" t="s">
        <v>531</v>
      </c>
      <c r="F518" s="107" t="s">
        <v>409</v>
      </c>
      <c r="G518" s="108">
        <v>8414</v>
      </c>
    </row>
    <row r="519" spans="1:7" ht="15">
      <c r="A519" s="77" t="s">
        <v>61</v>
      </c>
      <c r="B519" s="106" t="s">
        <v>34</v>
      </c>
      <c r="C519" s="106" t="s">
        <v>52</v>
      </c>
      <c r="D519" s="106" t="s">
        <v>62</v>
      </c>
      <c r="E519" s="106"/>
      <c r="F519" s="107"/>
      <c r="G519" s="108">
        <f>G520+G527+G536+G542+G579</f>
        <v>72379.4</v>
      </c>
    </row>
    <row r="520" spans="1:7" ht="60">
      <c r="A520" s="77" t="s">
        <v>344</v>
      </c>
      <c r="B520" s="106" t="s">
        <v>34</v>
      </c>
      <c r="C520" s="106" t="s">
        <v>52</v>
      </c>
      <c r="D520" s="106" t="s">
        <v>62</v>
      </c>
      <c r="E520" s="106" t="s">
        <v>119</v>
      </c>
      <c r="F520" s="107"/>
      <c r="G520" s="108">
        <f>G521</f>
        <v>8305.3</v>
      </c>
    </row>
    <row r="521" spans="1:7" ht="15">
      <c r="A521" s="77" t="s">
        <v>36</v>
      </c>
      <c r="B521" s="106" t="s">
        <v>34</v>
      </c>
      <c r="C521" s="106" t="s">
        <v>52</v>
      </c>
      <c r="D521" s="106" t="s">
        <v>62</v>
      </c>
      <c r="E521" s="106" t="s">
        <v>120</v>
      </c>
      <c r="F521" s="107"/>
      <c r="G521" s="108">
        <f>G522+G524+G525+G526+G523</f>
        <v>8305.3</v>
      </c>
    </row>
    <row r="522" spans="1:7" ht="15">
      <c r="A522" s="86" t="s">
        <v>242</v>
      </c>
      <c r="B522" s="106" t="s">
        <v>34</v>
      </c>
      <c r="C522" s="106" t="s">
        <v>52</v>
      </c>
      <c r="D522" s="106" t="s">
        <v>62</v>
      </c>
      <c r="E522" s="106" t="s">
        <v>120</v>
      </c>
      <c r="F522" s="109" t="s">
        <v>295</v>
      </c>
      <c r="G522" s="108">
        <f>7457+400</f>
        <v>7857</v>
      </c>
    </row>
    <row r="523" spans="1:7" ht="30">
      <c r="A523" s="86" t="s">
        <v>243</v>
      </c>
      <c r="B523" s="106" t="s">
        <v>34</v>
      </c>
      <c r="C523" s="106" t="s">
        <v>52</v>
      </c>
      <c r="D523" s="106" t="s">
        <v>62</v>
      </c>
      <c r="E523" s="106" t="s">
        <v>120</v>
      </c>
      <c r="F523" s="109" t="s">
        <v>304</v>
      </c>
      <c r="G523" s="108">
        <f>0.3+3.2</f>
        <v>3.5</v>
      </c>
    </row>
    <row r="524" spans="1:7" ht="30">
      <c r="A524" s="86" t="s">
        <v>244</v>
      </c>
      <c r="B524" s="106" t="s">
        <v>34</v>
      </c>
      <c r="C524" s="106" t="s">
        <v>52</v>
      </c>
      <c r="D524" s="106" t="s">
        <v>62</v>
      </c>
      <c r="E524" s="106" t="s">
        <v>120</v>
      </c>
      <c r="F524" s="109" t="s">
        <v>247</v>
      </c>
      <c r="G524" s="108">
        <v>53</v>
      </c>
    </row>
    <row r="525" spans="1:7" ht="30">
      <c r="A525" s="75" t="s">
        <v>262</v>
      </c>
      <c r="B525" s="106" t="s">
        <v>34</v>
      </c>
      <c r="C525" s="106" t="s">
        <v>52</v>
      </c>
      <c r="D525" s="106" t="s">
        <v>62</v>
      </c>
      <c r="E525" s="106" t="s">
        <v>120</v>
      </c>
      <c r="F525" s="109" t="s">
        <v>248</v>
      </c>
      <c r="G525" s="108">
        <f>117+33.9+35</f>
        <v>185.9</v>
      </c>
    </row>
    <row r="526" spans="1:7" ht="30">
      <c r="A526" s="86" t="s">
        <v>245</v>
      </c>
      <c r="B526" s="106" t="s">
        <v>34</v>
      </c>
      <c r="C526" s="106" t="s">
        <v>52</v>
      </c>
      <c r="D526" s="106" t="s">
        <v>62</v>
      </c>
      <c r="E526" s="106" t="s">
        <v>120</v>
      </c>
      <c r="F526" s="109" t="s">
        <v>249</v>
      </c>
      <c r="G526" s="108">
        <f>199+6.9</f>
        <v>205.9</v>
      </c>
    </row>
    <row r="527" spans="1:7" ht="90">
      <c r="A527" s="75" t="s">
        <v>96</v>
      </c>
      <c r="B527" s="106" t="s">
        <v>34</v>
      </c>
      <c r="C527" s="106" t="s">
        <v>52</v>
      </c>
      <c r="D527" s="106" t="s">
        <v>62</v>
      </c>
      <c r="E527" s="106" t="s">
        <v>234</v>
      </c>
      <c r="F527" s="109"/>
      <c r="G527" s="108">
        <f>G528+G534</f>
        <v>23943.8</v>
      </c>
    </row>
    <row r="528" spans="1:7" ht="30">
      <c r="A528" s="75" t="s">
        <v>275</v>
      </c>
      <c r="B528" s="106" t="s">
        <v>34</v>
      </c>
      <c r="C528" s="106" t="s">
        <v>52</v>
      </c>
      <c r="D528" s="106" t="s">
        <v>62</v>
      </c>
      <c r="E528" s="106" t="s">
        <v>127</v>
      </c>
      <c r="F528" s="109"/>
      <c r="G528" s="108">
        <f>G529+G530+G531+G532+G533</f>
        <v>23908.8</v>
      </c>
    </row>
    <row r="529" spans="1:7" ht="15">
      <c r="A529" s="86" t="s">
        <v>242</v>
      </c>
      <c r="B529" s="106" t="s">
        <v>34</v>
      </c>
      <c r="C529" s="106" t="s">
        <v>52</v>
      </c>
      <c r="D529" s="106" t="s">
        <v>62</v>
      </c>
      <c r="E529" s="106" t="s">
        <v>127</v>
      </c>
      <c r="F529" s="109" t="s">
        <v>258</v>
      </c>
      <c r="G529" s="108">
        <f>16370+245-19.5-557</f>
        <v>16038.5</v>
      </c>
    </row>
    <row r="530" spans="1:7" ht="30">
      <c r="A530" s="86" t="s">
        <v>243</v>
      </c>
      <c r="B530" s="106" t="s">
        <v>34</v>
      </c>
      <c r="C530" s="106" t="s">
        <v>52</v>
      </c>
      <c r="D530" s="106" t="s">
        <v>62</v>
      </c>
      <c r="E530" s="106" t="s">
        <v>127</v>
      </c>
      <c r="F530" s="109" t="s">
        <v>264</v>
      </c>
      <c r="G530" s="108">
        <v>13</v>
      </c>
    </row>
    <row r="531" spans="1:7" ht="30">
      <c r="A531" s="86" t="s">
        <v>244</v>
      </c>
      <c r="B531" s="106" t="s">
        <v>34</v>
      </c>
      <c r="C531" s="106" t="s">
        <v>52</v>
      </c>
      <c r="D531" s="106" t="s">
        <v>62</v>
      </c>
      <c r="E531" s="106" t="s">
        <v>127</v>
      </c>
      <c r="F531" s="109" t="s">
        <v>247</v>
      </c>
      <c r="G531" s="108">
        <f>475+10+100+57</f>
        <v>642</v>
      </c>
    </row>
    <row r="532" spans="1:7" ht="30">
      <c r="A532" s="75" t="s">
        <v>262</v>
      </c>
      <c r="B532" s="106" t="s">
        <v>34</v>
      </c>
      <c r="C532" s="106" t="s">
        <v>52</v>
      </c>
      <c r="D532" s="106" t="s">
        <v>62</v>
      </c>
      <c r="E532" s="106" t="s">
        <v>127</v>
      </c>
      <c r="F532" s="109" t="s">
        <v>248</v>
      </c>
      <c r="G532" s="108">
        <f>4975.2-37.1-35+494.7</f>
        <v>5397.8</v>
      </c>
    </row>
    <row r="533" spans="1:7" ht="60">
      <c r="A533" s="86" t="s">
        <v>274</v>
      </c>
      <c r="B533" s="106" t="s">
        <v>34</v>
      </c>
      <c r="C533" s="106" t="s">
        <v>52</v>
      </c>
      <c r="D533" s="106" t="s">
        <v>62</v>
      </c>
      <c r="E533" s="106" t="s">
        <v>127</v>
      </c>
      <c r="F533" s="109" t="s">
        <v>9</v>
      </c>
      <c r="G533" s="108">
        <f>1967+19.5-169</f>
        <v>1817.5</v>
      </c>
    </row>
    <row r="534" spans="1:7" ht="30">
      <c r="A534" s="86" t="s">
        <v>429</v>
      </c>
      <c r="B534" s="106" t="s">
        <v>34</v>
      </c>
      <c r="C534" s="106" t="s">
        <v>52</v>
      </c>
      <c r="D534" s="106" t="s">
        <v>62</v>
      </c>
      <c r="E534" s="106" t="s">
        <v>432</v>
      </c>
      <c r="F534" s="109"/>
      <c r="G534" s="108">
        <f>G535</f>
        <v>35</v>
      </c>
    </row>
    <row r="535" spans="1:7" ht="30">
      <c r="A535" s="86" t="s">
        <v>8</v>
      </c>
      <c r="B535" s="106" t="s">
        <v>34</v>
      </c>
      <c r="C535" s="106" t="s">
        <v>52</v>
      </c>
      <c r="D535" s="106" t="s">
        <v>62</v>
      </c>
      <c r="E535" s="106" t="s">
        <v>432</v>
      </c>
      <c r="F535" s="109" t="s">
        <v>10</v>
      </c>
      <c r="G535" s="108">
        <v>35</v>
      </c>
    </row>
    <row r="536" spans="1:7" ht="30">
      <c r="A536" s="77" t="s">
        <v>174</v>
      </c>
      <c r="B536" s="106" t="s">
        <v>34</v>
      </c>
      <c r="C536" s="106" t="s">
        <v>52</v>
      </c>
      <c r="D536" s="106" t="s">
        <v>62</v>
      </c>
      <c r="E536" s="106" t="s">
        <v>170</v>
      </c>
      <c r="F536" s="107"/>
      <c r="G536" s="108">
        <f>G537</f>
        <v>2013.3</v>
      </c>
    </row>
    <row r="537" spans="1:7" ht="45">
      <c r="A537" s="77" t="s">
        <v>172</v>
      </c>
      <c r="B537" s="106" t="s">
        <v>34</v>
      </c>
      <c r="C537" s="106" t="s">
        <v>52</v>
      </c>
      <c r="D537" s="106" t="s">
        <v>62</v>
      </c>
      <c r="E537" s="106" t="s">
        <v>173</v>
      </c>
      <c r="F537" s="107"/>
      <c r="G537" s="108">
        <f>G538+G540+G541+G539</f>
        <v>2013.3</v>
      </c>
    </row>
    <row r="538" spans="1:7" ht="15">
      <c r="A538" s="86" t="s">
        <v>242</v>
      </c>
      <c r="B538" s="106" t="s">
        <v>34</v>
      </c>
      <c r="C538" s="106" t="s">
        <v>52</v>
      </c>
      <c r="D538" s="106" t="s">
        <v>62</v>
      </c>
      <c r="E538" s="106" t="s">
        <v>173</v>
      </c>
      <c r="F538" s="107" t="s">
        <v>295</v>
      </c>
      <c r="G538" s="108">
        <v>1746</v>
      </c>
    </row>
    <row r="539" spans="1:7" ht="30">
      <c r="A539" s="86" t="s">
        <v>243</v>
      </c>
      <c r="B539" s="106" t="s">
        <v>34</v>
      </c>
      <c r="C539" s="106" t="s">
        <v>52</v>
      </c>
      <c r="D539" s="106" t="s">
        <v>62</v>
      </c>
      <c r="E539" s="106" t="s">
        <v>173</v>
      </c>
      <c r="F539" s="107" t="s">
        <v>304</v>
      </c>
      <c r="G539" s="108">
        <v>1</v>
      </c>
    </row>
    <row r="540" spans="1:7" ht="30">
      <c r="A540" s="86" t="s">
        <v>244</v>
      </c>
      <c r="B540" s="106" t="s">
        <v>34</v>
      </c>
      <c r="C540" s="106" t="s">
        <v>52</v>
      </c>
      <c r="D540" s="106" t="s">
        <v>62</v>
      </c>
      <c r="E540" s="106" t="s">
        <v>173</v>
      </c>
      <c r="F540" s="107" t="s">
        <v>247</v>
      </c>
      <c r="G540" s="108">
        <v>40</v>
      </c>
    </row>
    <row r="541" spans="1:7" ht="30">
      <c r="A541" s="75" t="s">
        <v>262</v>
      </c>
      <c r="B541" s="106" t="s">
        <v>34</v>
      </c>
      <c r="C541" s="106" t="s">
        <v>52</v>
      </c>
      <c r="D541" s="106" t="s">
        <v>62</v>
      </c>
      <c r="E541" s="106" t="s">
        <v>173</v>
      </c>
      <c r="F541" s="107" t="s">
        <v>248</v>
      </c>
      <c r="G541" s="108">
        <v>226.3</v>
      </c>
    </row>
    <row r="542" spans="1:7" ht="30">
      <c r="A542" s="75" t="s">
        <v>100</v>
      </c>
      <c r="B542" s="106" t="s">
        <v>34</v>
      </c>
      <c r="C542" s="106" t="s">
        <v>52</v>
      </c>
      <c r="D542" s="106" t="s">
        <v>62</v>
      </c>
      <c r="E542" s="106" t="s">
        <v>101</v>
      </c>
      <c r="F542" s="107"/>
      <c r="G542" s="108">
        <f>G543+G575+G577</f>
        <v>29954</v>
      </c>
    </row>
    <row r="543" spans="1:7" ht="30">
      <c r="A543" s="75" t="s">
        <v>238</v>
      </c>
      <c r="B543" s="106" t="s">
        <v>34</v>
      </c>
      <c r="C543" s="106" t="s">
        <v>52</v>
      </c>
      <c r="D543" s="106" t="s">
        <v>62</v>
      </c>
      <c r="E543" s="106" t="s">
        <v>228</v>
      </c>
      <c r="F543" s="107"/>
      <c r="G543" s="108">
        <f>G545+G547+G549+G552+G555+G558+G562+G564+G567+G570+G572</f>
        <v>29824</v>
      </c>
    </row>
    <row r="544" spans="1:7" ht="15">
      <c r="A544" s="136" t="s">
        <v>392</v>
      </c>
      <c r="B544" s="106"/>
      <c r="C544" s="106"/>
      <c r="D544" s="106"/>
      <c r="E544" s="106"/>
      <c r="F544" s="107"/>
      <c r="G544" s="108"/>
    </row>
    <row r="545" spans="1:7" ht="30">
      <c r="A545" s="75" t="s">
        <v>393</v>
      </c>
      <c r="B545" s="106" t="s">
        <v>34</v>
      </c>
      <c r="C545" s="106" t="s">
        <v>52</v>
      </c>
      <c r="D545" s="106" t="s">
        <v>62</v>
      </c>
      <c r="E545" s="106" t="s">
        <v>404</v>
      </c>
      <c r="F545" s="107"/>
      <c r="G545" s="108">
        <f>G546</f>
        <v>201</v>
      </c>
    </row>
    <row r="546" spans="1:7" ht="30">
      <c r="A546" s="77" t="s">
        <v>13</v>
      </c>
      <c r="B546" s="106" t="s">
        <v>34</v>
      </c>
      <c r="C546" s="106" t="s">
        <v>52</v>
      </c>
      <c r="D546" s="106" t="s">
        <v>62</v>
      </c>
      <c r="E546" s="106" t="s">
        <v>404</v>
      </c>
      <c r="F546" s="107" t="s">
        <v>12</v>
      </c>
      <c r="G546" s="108">
        <f>100+87+14</f>
        <v>201</v>
      </c>
    </row>
    <row r="547" spans="1:7" ht="30">
      <c r="A547" s="89" t="s">
        <v>394</v>
      </c>
      <c r="B547" s="106" t="s">
        <v>34</v>
      </c>
      <c r="C547" s="106" t="s">
        <v>52</v>
      </c>
      <c r="D547" s="106" t="s">
        <v>62</v>
      </c>
      <c r="E547" s="106" t="s">
        <v>464</v>
      </c>
      <c r="F547" s="107"/>
      <c r="G547" s="108">
        <f>G548</f>
        <v>5565.5</v>
      </c>
    </row>
    <row r="548" spans="1:7" ht="30">
      <c r="A548" s="77" t="s">
        <v>13</v>
      </c>
      <c r="B548" s="106" t="s">
        <v>34</v>
      </c>
      <c r="C548" s="106" t="s">
        <v>52</v>
      </c>
      <c r="D548" s="106" t="s">
        <v>62</v>
      </c>
      <c r="E548" s="106" t="s">
        <v>464</v>
      </c>
      <c r="F548" s="107" t="s">
        <v>12</v>
      </c>
      <c r="G548" s="108">
        <f>3865.5+700+1000</f>
        <v>5565.5</v>
      </c>
    </row>
    <row r="549" spans="1:7" ht="45">
      <c r="A549" s="89" t="s">
        <v>395</v>
      </c>
      <c r="B549" s="106" t="s">
        <v>34</v>
      </c>
      <c r="C549" s="106" t="s">
        <v>52</v>
      </c>
      <c r="D549" s="106" t="s">
        <v>62</v>
      </c>
      <c r="E549" s="106" t="s">
        <v>405</v>
      </c>
      <c r="F549" s="107"/>
      <c r="G549" s="108">
        <f>G550+G551</f>
        <v>283.2</v>
      </c>
    </row>
    <row r="550" spans="1:7" ht="30">
      <c r="A550" s="86" t="s">
        <v>8</v>
      </c>
      <c r="B550" s="106" t="s">
        <v>34</v>
      </c>
      <c r="C550" s="106" t="s">
        <v>52</v>
      </c>
      <c r="D550" s="106" t="s">
        <v>62</v>
      </c>
      <c r="E550" s="106" t="s">
        <v>405</v>
      </c>
      <c r="F550" s="107" t="s">
        <v>10</v>
      </c>
      <c r="G550" s="108">
        <f>20-17.1-0.9</f>
        <v>2</v>
      </c>
    </row>
    <row r="551" spans="1:7" ht="30">
      <c r="A551" s="77" t="s">
        <v>13</v>
      </c>
      <c r="B551" s="106" t="s">
        <v>34</v>
      </c>
      <c r="C551" s="106" t="s">
        <v>52</v>
      </c>
      <c r="D551" s="106" t="s">
        <v>62</v>
      </c>
      <c r="E551" s="106" t="s">
        <v>405</v>
      </c>
      <c r="F551" s="107" t="s">
        <v>12</v>
      </c>
      <c r="G551" s="108">
        <f>205+17.1+0.9+58.2</f>
        <v>281.2</v>
      </c>
    </row>
    <row r="552" spans="1:7" ht="15">
      <c r="A552" s="89" t="s">
        <v>396</v>
      </c>
      <c r="B552" s="106" t="s">
        <v>34</v>
      </c>
      <c r="C552" s="106" t="s">
        <v>52</v>
      </c>
      <c r="D552" s="106" t="s">
        <v>62</v>
      </c>
      <c r="E552" s="106" t="s">
        <v>406</v>
      </c>
      <c r="F552" s="107"/>
      <c r="G552" s="108">
        <f>G553+G554</f>
        <v>450</v>
      </c>
    </row>
    <row r="553" spans="1:7" ht="30">
      <c r="A553" s="75" t="s">
        <v>262</v>
      </c>
      <c r="B553" s="106" t="s">
        <v>34</v>
      </c>
      <c r="C553" s="106" t="s">
        <v>52</v>
      </c>
      <c r="D553" s="106" t="s">
        <v>62</v>
      </c>
      <c r="E553" s="106" t="s">
        <v>406</v>
      </c>
      <c r="F553" s="107" t="s">
        <v>248</v>
      </c>
      <c r="G553" s="108">
        <v>415</v>
      </c>
    </row>
    <row r="554" spans="1:7" ht="30">
      <c r="A554" s="77" t="s">
        <v>13</v>
      </c>
      <c r="B554" s="106" t="s">
        <v>34</v>
      </c>
      <c r="C554" s="106" t="s">
        <v>52</v>
      </c>
      <c r="D554" s="106" t="s">
        <v>62</v>
      </c>
      <c r="E554" s="106" t="s">
        <v>406</v>
      </c>
      <c r="F554" s="107" t="s">
        <v>12</v>
      </c>
      <c r="G554" s="108">
        <v>35</v>
      </c>
    </row>
    <row r="555" spans="1:7" ht="30">
      <c r="A555" s="89" t="s">
        <v>397</v>
      </c>
      <c r="B555" s="106" t="s">
        <v>34</v>
      </c>
      <c r="C555" s="106" t="s">
        <v>52</v>
      </c>
      <c r="D555" s="106" t="s">
        <v>62</v>
      </c>
      <c r="E555" s="106" t="s">
        <v>407</v>
      </c>
      <c r="F555" s="107"/>
      <c r="G555" s="108">
        <f>G556+G557</f>
        <v>209</v>
      </c>
    </row>
    <row r="556" spans="1:7" ht="30">
      <c r="A556" s="75" t="s">
        <v>262</v>
      </c>
      <c r="B556" s="106" t="s">
        <v>34</v>
      </c>
      <c r="C556" s="106" t="s">
        <v>52</v>
      </c>
      <c r="D556" s="106" t="s">
        <v>62</v>
      </c>
      <c r="E556" s="106" t="s">
        <v>407</v>
      </c>
      <c r="F556" s="107" t="s">
        <v>248</v>
      </c>
      <c r="G556" s="108">
        <f>92.5+9</f>
        <v>101.5</v>
      </c>
    </row>
    <row r="557" spans="1:7" ht="30">
      <c r="A557" s="77" t="s">
        <v>13</v>
      </c>
      <c r="B557" s="106" t="s">
        <v>34</v>
      </c>
      <c r="C557" s="106" t="s">
        <v>52</v>
      </c>
      <c r="D557" s="106" t="s">
        <v>62</v>
      </c>
      <c r="E557" s="106" t="s">
        <v>407</v>
      </c>
      <c r="F557" s="107" t="s">
        <v>12</v>
      </c>
      <c r="G557" s="108">
        <f>100+7.5</f>
        <v>107.5</v>
      </c>
    </row>
    <row r="558" spans="1:7" ht="30">
      <c r="A558" s="89" t="s">
        <v>398</v>
      </c>
      <c r="B558" s="106" t="s">
        <v>34</v>
      </c>
      <c r="C558" s="106" t="s">
        <v>52</v>
      </c>
      <c r="D558" s="106" t="s">
        <v>62</v>
      </c>
      <c r="E558" s="106" t="s">
        <v>408</v>
      </c>
      <c r="F558" s="107"/>
      <c r="G558" s="108">
        <f>G559+G560+G561</f>
        <v>1953</v>
      </c>
    </row>
    <row r="559" spans="1:7" ht="30">
      <c r="A559" s="137" t="s">
        <v>399</v>
      </c>
      <c r="B559" s="106" t="s">
        <v>34</v>
      </c>
      <c r="C559" s="106" t="s">
        <v>52</v>
      </c>
      <c r="D559" s="106" t="s">
        <v>62</v>
      </c>
      <c r="E559" s="106" t="s">
        <v>408</v>
      </c>
      <c r="F559" s="107" t="s">
        <v>409</v>
      </c>
      <c r="G559" s="108">
        <f>970+583</f>
        <v>1553</v>
      </c>
    </row>
    <row r="560" spans="1:7" ht="30">
      <c r="A560" s="86" t="s">
        <v>8</v>
      </c>
      <c r="B560" s="106" t="s">
        <v>34</v>
      </c>
      <c r="C560" s="106" t="s">
        <v>52</v>
      </c>
      <c r="D560" s="106" t="s">
        <v>62</v>
      </c>
      <c r="E560" s="106" t="s">
        <v>408</v>
      </c>
      <c r="F560" s="107" t="s">
        <v>10</v>
      </c>
      <c r="G560" s="108">
        <v>15</v>
      </c>
    </row>
    <row r="561" spans="1:7" ht="30">
      <c r="A561" s="77" t="s">
        <v>13</v>
      </c>
      <c r="B561" s="106" t="s">
        <v>34</v>
      </c>
      <c r="C561" s="106" t="s">
        <v>52</v>
      </c>
      <c r="D561" s="106" t="s">
        <v>62</v>
      </c>
      <c r="E561" s="106" t="s">
        <v>408</v>
      </c>
      <c r="F561" s="107" t="s">
        <v>12</v>
      </c>
      <c r="G561" s="108">
        <v>385</v>
      </c>
    </row>
    <row r="562" spans="1:7" ht="30">
      <c r="A562" s="89" t="s">
        <v>400</v>
      </c>
      <c r="B562" s="106" t="s">
        <v>34</v>
      </c>
      <c r="C562" s="106" t="s">
        <v>52</v>
      </c>
      <c r="D562" s="106" t="s">
        <v>62</v>
      </c>
      <c r="E562" s="106" t="s">
        <v>410</v>
      </c>
      <c r="F562" s="107"/>
      <c r="G562" s="108">
        <f>G563</f>
        <v>246.9</v>
      </c>
    </row>
    <row r="563" spans="1:7" ht="30">
      <c r="A563" s="77" t="s">
        <v>13</v>
      </c>
      <c r="B563" s="106" t="s">
        <v>34</v>
      </c>
      <c r="C563" s="106" t="s">
        <v>52</v>
      </c>
      <c r="D563" s="106" t="s">
        <v>62</v>
      </c>
      <c r="E563" s="106" t="s">
        <v>410</v>
      </c>
      <c r="F563" s="107" t="s">
        <v>12</v>
      </c>
      <c r="G563" s="108">
        <f>30-25.5+242.4</f>
        <v>246.9</v>
      </c>
    </row>
    <row r="564" spans="1:7" ht="30">
      <c r="A564" s="89" t="s">
        <v>401</v>
      </c>
      <c r="B564" s="106" t="s">
        <v>34</v>
      </c>
      <c r="C564" s="106" t="s">
        <v>52</v>
      </c>
      <c r="D564" s="106" t="s">
        <v>62</v>
      </c>
      <c r="E564" s="106" t="s">
        <v>411</v>
      </c>
      <c r="F564" s="107"/>
      <c r="G564" s="108">
        <f>G565+G566</f>
        <v>2307.7</v>
      </c>
    </row>
    <row r="565" spans="1:7" ht="30">
      <c r="A565" s="86" t="s">
        <v>8</v>
      </c>
      <c r="B565" s="106" t="s">
        <v>34</v>
      </c>
      <c r="C565" s="106" t="s">
        <v>52</v>
      </c>
      <c r="D565" s="106" t="s">
        <v>62</v>
      </c>
      <c r="E565" s="106" t="s">
        <v>411</v>
      </c>
      <c r="F565" s="107" t="s">
        <v>10</v>
      </c>
      <c r="G565" s="108">
        <f>99.6+65</f>
        <v>164.6</v>
      </c>
    </row>
    <row r="566" spans="1:7" ht="30">
      <c r="A566" s="77" t="s">
        <v>13</v>
      </c>
      <c r="B566" s="106" t="s">
        <v>34</v>
      </c>
      <c r="C566" s="106" t="s">
        <v>52</v>
      </c>
      <c r="D566" s="106" t="s">
        <v>62</v>
      </c>
      <c r="E566" s="106" t="s">
        <v>411</v>
      </c>
      <c r="F566" s="107" t="s">
        <v>12</v>
      </c>
      <c r="G566" s="108">
        <f>2110+33.1</f>
        <v>2143.1</v>
      </c>
    </row>
    <row r="567" spans="1:7" ht="30">
      <c r="A567" s="89" t="s">
        <v>402</v>
      </c>
      <c r="B567" s="106" t="s">
        <v>34</v>
      </c>
      <c r="C567" s="106" t="s">
        <v>52</v>
      </c>
      <c r="D567" s="106" t="s">
        <v>62</v>
      </c>
      <c r="E567" s="106" t="s">
        <v>412</v>
      </c>
      <c r="F567" s="107"/>
      <c r="G567" s="108">
        <f>G568+G569</f>
        <v>2978.8</v>
      </c>
    </row>
    <row r="568" spans="1:7" ht="30">
      <c r="A568" s="86" t="s">
        <v>8</v>
      </c>
      <c r="B568" s="106" t="s">
        <v>34</v>
      </c>
      <c r="C568" s="106" t="s">
        <v>52</v>
      </c>
      <c r="D568" s="106" t="s">
        <v>62</v>
      </c>
      <c r="E568" s="106" t="s">
        <v>412</v>
      </c>
      <c r="F568" s="107" t="s">
        <v>10</v>
      </c>
      <c r="G568" s="108">
        <f>160+85</f>
        <v>245</v>
      </c>
    </row>
    <row r="569" spans="1:7" ht="30">
      <c r="A569" s="77" t="s">
        <v>13</v>
      </c>
      <c r="B569" s="106" t="s">
        <v>34</v>
      </c>
      <c r="C569" s="106" t="s">
        <v>52</v>
      </c>
      <c r="D569" s="106" t="s">
        <v>62</v>
      </c>
      <c r="E569" s="106" t="s">
        <v>412</v>
      </c>
      <c r="F569" s="107" t="s">
        <v>12</v>
      </c>
      <c r="G569" s="108">
        <f>2630+188.8-85</f>
        <v>2733.8</v>
      </c>
    </row>
    <row r="570" spans="1:7" ht="30">
      <c r="A570" s="138" t="s">
        <v>403</v>
      </c>
      <c r="B570" s="106" t="s">
        <v>34</v>
      </c>
      <c r="C570" s="106" t="s">
        <v>52</v>
      </c>
      <c r="D570" s="106" t="s">
        <v>62</v>
      </c>
      <c r="E570" s="106" t="s">
        <v>507</v>
      </c>
      <c r="F570" s="107"/>
      <c r="G570" s="108">
        <f>G571</f>
        <v>10333.8</v>
      </c>
    </row>
    <row r="571" spans="1:7" ht="28.5" customHeight="1">
      <c r="A571" s="77" t="s">
        <v>13</v>
      </c>
      <c r="B571" s="106" t="s">
        <v>34</v>
      </c>
      <c r="C571" s="106" t="s">
        <v>52</v>
      </c>
      <c r="D571" s="106" t="s">
        <v>62</v>
      </c>
      <c r="E571" s="106" t="s">
        <v>507</v>
      </c>
      <c r="F571" s="107" t="s">
        <v>12</v>
      </c>
      <c r="G571" s="108">
        <f>5732.4-518.2-621.6+5755.2-14</f>
        <v>10333.8</v>
      </c>
    </row>
    <row r="572" spans="1:7" ht="45">
      <c r="A572" s="89" t="s">
        <v>509</v>
      </c>
      <c r="B572" s="106" t="s">
        <v>34</v>
      </c>
      <c r="C572" s="106" t="s">
        <v>52</v>
      </c>
      <c r="D572" s="106" t="s">
        <v>62</v>
      </c>
      <c r="E572" s="106" t="s">
        <v>510</v>
      </c>
      <c r="F572" s="107"/>
      <c r="G572" s="108">
        <f>G573+G574</f>
        <v>5295.1</v>
      </c>
    </row>
    <row r="573" spans="1:7" ht="30">
      <c r="A573" s="86" t="s">
        <v>8</v>
      </c>
      <c r="B573" s="106" t="s">
        <v>34</v>
      </c>
      <c r="C573" s="106" t="s">
        <v>52</v>
      </c>
      <c r="D573" s="106" t="s">
        <v>62</v>
      </c>
      <c r="E573" s="106" t="s">
        <v>510</v>
      </c>
      <c r="F573" s="107" t="s">
        <v>10</v>
      </c>
      <c r="G573" s="108">
        <f>91.3-30.5</f>
        <v>60.8</v>
      </c>
    </row>
    <row r="574" spans="1:7" ht="30">
      <c r="A574" s="77" t="s">
        <v>13</v>
      </c>
      <c r="B574" s="106" t="s">
        <v>34</v>
      </c>
      <c r="C574" s="106" t="s">
        <v>52</v>
      </c>
      <c r="D574" s="106" t="s">
        <v>62</v>
      </c>
      <c r="E574" s="106" t="s">
        <v>510</v>
      </c>
      <c r="F574" s="107" t="s">
        <v>12</v>
      </c>
      <c r="G574" s="108">
        <f>4743.6+324.6+166.1</f>
        <v>5234.3</v>
      </c>
    </row>
    <row r="575" spans="1:7" ht="45">
      <c r="A575" s="75" t="s">
        <v>285</v>
      </c>
      <c r="B575" s="106" t="s">
        <v>34</v>
      </c>
      <c r="C575" s="106" t="s">
        <v>52</v>
      </c>
      <c r="D575" s="106" t="s">
        <v>62</v>
      </c>
      <c r="E575" s="111" t="s">
        <v>131</v>
      </c>
      <c r="F575" s="107"/>
      <c r="G575" s="108">
        <f>G576</f>
        <v>30</v>
      </c>
    </row>
    <row r="576" spans="1:7" ht="30">
      <c r="A576" s="75" t="s">
        <v>262</v>
      </c>
      <c r="B576" s="106" t="s">
        <v>34</v>
      </c>
      <c r="C576" s="106" t="s">
        <v>52</v>
      </c>
      <c r="D576" s="106" t="s">
        <v>62</v>
      </c>
      <c r="E576" s="111" t="s">
        <v>131</v>
      </c>
      <c r="F576" s="107" t="s">
        <v>248</v>
      </c>
      <c r="G576" s="108">
        <f>80-50</f>
        <v>30</v>
      </c>
    </row>
    <row r="577" spans="1:7" ht="60">
      <c r="A577" s="75" t="s">
        <v>368</v>
      </c>
      <c r="B577" s="106" t="s">
        <v>34</v>
      </c>
      <c r="C577" s="106" t="s">
        <v>52</v>
      </c>
      <c r="D577" s="106" t="s">
        <v>62</v>
      </c>
      <c r="E577" s="119" t="s">
        <v>286</v>
      </c>
      <c r="F577" s="107"/>
      <c r="G577" s="108">
        <f>G578</f>
        <v>100</v>
      </c>
    </row>
    <row r="578" spans="1:7" ht="30">
      <c r="A578" s="75" t="s">
        <v>13</v>
      </c>
      <c r="B578" s="106" t="s">
        <v>34</v>
      </c>
      <c r="C578" s="106" t="s">
        <v>52</v>
      </c>
      <c r="D578" s="106" t="s">
        <v>62</v>
      </c>
      <c r="E578" s="119" t="s">
        <v>286</v>
      </c>
      <c r="F578" s="107" t="s">
        <v>12</v>
      </c>
      <c r="G578" s="108">
        <v>100</v>
      </c>
    </row>
    <row r="579" spans="1:7" ht="45">
      <c r="A579" s="75" t="s">
        <v>436</v>
      </c>
      <c r="B579" s="106" t="s">
        <v>34</v>
      </c>
      <c r="C579" s="106" t="s">
        <v>52</v>
      </c>
      <c r="D579" s="106" t="s">
        <v>62</v>
      </c>
      <c r="E579" s="119" t="s">
        <v>435</v>
      </c>
      <c r="F579" s="107"/>
      <c r="G579" s="108">
        <f>G580+G583</f>
        <v>8163</v>
      </c>
    </row>
    <row r="580" spans="1:7" ht="60">
      <c r="A580" s="75" t="s">
        <v>460</v>
      </c>
      <c r="B580" s="106" t="s">
        <v>34</v>
      </c>
      <c r="C580" s="106" t="s">
        <v>52</v>
      </c>
      <c r="D580" s="106" t="s">
        <v>62</v>
      </c>
      <c r="E580" s="119" t="s">
        <v>459</v>
      </c>
      <c r="F580" s="107"/>
      <c r="G580" s="108">
        <f>G581+G582</f>
        <v>58</v>
      </c>
    </row>
    <row r="581" spans="1:7" ht="30">
      <c r="A581" s="75" t="s">
        <v>262</v>
      </c>
      <c r="B581" s="106" t="s">
        <v>34</v>
      </c>
      <c r="C581" s="106" t="s">
        <v>52</v>
      </c>
      <c r="D581" s="106" t="s">
        <v>62</v>
      </c>
      <c r="E581" s="119" t="s">
        <v>459</v>
      </c>
      <c r="F581" s="107" t="s">
        <v>248</v>
      </c>
      <c r="G581" s="108">
        <v>10</v>
      </c>
    </row>
    <row r="582" spans="1:7" ht="30">
      <c r="A582" s="75" t="s">
        <v>13</v>
      </c>
      <c r="B582" s="106" t="s">
        <v>34</v>
      </c>
      <c r="C582" s="106" t="s">
        <v>52</v>
      </c>
      <c r="D582" s="106" t="s">
        <v>62</v>
      </c>
      <c r="E582" s="119" t="s">
        <v>459</v>
      </c>
      <c r="F582" s="107" t="s">
        <v>12</v>
      </c>
      <c r="G582" s="108">
        <v>48</v>
      </c>
    </row>
    <row r="583" spans="1:7" ht="45">
      <c r="A583" s="89" t="s">
        <v>437</v>
      </c>
      <c r="B583" s="106" t="s">
        <v>34</v>
      </c>
      <c r="C583" s="106" t="s">
        <v>52</v>
      </c>
      <c r="D583" s="106" t="s">
        <v>62</v>
      </c>
      <c r="E583" s="119" t="s">
        <v>424</v>
      </c>
      <c r="F583" s="107"/>
      <c r="G583" s="108">
        <f>G584+G586+G588+G591+G594+G598+G601+G603</f>
        <v>8105</v>
      </c>
    </row>
    <row r="584" spans="1:7" ht="45">
      <c r="A584" s="89" t="s">
        <v>455</v>
      </c>
      <c r="B584" s="106" t="s">
        <v>34</v>
      </c>
      <c r="C584" s="106" t="s">
        <v>52</v>
      </c>
      <c r="D584" s="106" t="s">
        <v>62</v>
      </c>
      <c r="E584" s="119" t="s">
        <v>452</v>
      </c>
      <c r="F584" s="107"/>
      <c r="G584" s="108">
        <f>G585</f>
        <v>1099.2</v>
      </c>
    </row>
    <row r="585" spans="1:7" ht="30">
      <c r="A585" s="77" t="s">
        <v>13</v>
      </c>
      <c r="B585" s="106" t="s">
        <v>34</v>
      </c>
      <c r="C585" s="106" t="s">
        <v>52</v>
      </c>
      <c r="D585" s="106" t="s">
        <v>62</v>
      </c>
      <c r="E585" s="119" t="s">
        <v>452</v>
      </c>
      <c r="F585" s="107" t="s">
        <v>12</v>
      </c>
      <c r="G585" s="108">
        <v>1099.2</v>
      </c>
    </row>
    <row r="586" spans="1:7" ht="45">
      <c r="A586" s="89" t="s">
        <v>438</v>
      </c>
      <c r="B586" s="106" t="s">
        <v>34</v>
      </c>
      <c r="C586" s="106" t="s">
        <v>52</v>
      </c>
      <c r="D586" s="106" t="s">
        <v>62</v>
      </c>
      <c r="E586" s="119" t="s">
        <v>434</v>
      </c>
      <c r="F586" s="107"/>
      <c r="G586" s="108">
        <f>G587</f>
        <v>526.9</v>
      </c>
    </row>
    <row r="587" spans="1:7" ht="30">
      <c r="A587" s="77" t="s">
        <v>13</v>
      </c>
      <c r="B587" s="106" t="s">
        <v>34</v>
      </c>
      <c r="C587" s="106" t="s">
        <v>52</v>
      </c>
      <c r="D587" s="106" t="s">
        <v>62</v>
      </c>
      <c r="E587" s="119" t="s">
        <v>434</v>
      </c>
      <c r="F587" s="107" t="s">
        <v>12</v>
      </c>
      <c r="G587" s="108">
        <v>526.9</v>
      </c>
    </row>
    <row r="588" spans="1:7" ht="60">
      <c r="A588" s="77" t="s">
        <v>446</v>
      </c>
      <c r="B588" s="106" t="s">
        <v>34</v>
      </c>
      <c r="C588" s="106" t="s">
        <v>52</v>
      </c>
      <c r="D588" s="106" t="s">
        <v>62</v>
      </c>
      <c r="E588" s="119" t="s">
        <v>445</v>
      </c>
      <c r="F588" s="107"/>
      <c r="G588" s="108">
        <f>G589+G590</f>
        <v>583.1</v>
      </c>
    </row>
    <row r="589" spans="1:7" ht="30">
      <c r="A589" s="86" t="s">
        <v>8</v>
      </c>
      <c r="B589" s="106" t="s">
        <v>34</v>
      </c>
      <c r="C589" s="106" t="s">
        <v>52</v>
      </c>
      <c r="D589" s="106" t="s">
        <v>62</v>
      </c>
      <c r="E589" s="119" t="s">
        <v>445</v>
      </c>
      <c r="F589" s="107" t="s">
        <v>10</v>
      </c>
      <c r="G589" s="108">
        <v>74.3</v>
      </c>
    </row>
    <row r="590" spans="1:7" ht="30">
      <c r="A590" s="77" t="s">
        <v>13</v>
      </c>
      <c r="B590" s="106" t="s">
        <v>34</v>
      </c>
      <c r="C590" s="106" t="s">
        <v>52</v>
      </c>
      <c r="D590" s="106" t="s">
        <v>62</v>
      </c>
      <c r="E590" s="119" t="s">
        <v>445</v>
      </c>
      <c r="F590" s="107" t="s">
        <v>12</v>
      </c>
      <c r="G590" s="108">
        <v>508.8</v>
      </c>
    </row>
    <row r="591" spans="1:7" ht="30">
      <c r="A591" s="89" t="s">
        <v>440</v>
      </c>
      <c r="B591" s="106" t="s">
        <v>34</v>
      </c>
      <c r="C591" s="106" t="s">
        <v>52</v>
      </c>
      <c r="D591" s="106" t="s">
        <v>62</v>
      </c>
      <c r="E591" s="119" t="s">
        <v>439</v>
      </c>
      <c r="F591" s="107"/>
      <c r="G591" s="108">
        <f>G592+G593</f>
        <v>78.5</v>
      </c>
    </row>
    <row r="592" spans="1:7" ht="30">
      <c r="A592" s="75" t="s">
        <v>262</v>
      </c>
      <c r="B592" s="106" t="s">
        <v>34</v>
      </c>
      <c r="C592" s="106" t="s">
        <v>52</v>
      </c>
      <c r="D592" s="106" t="s">
        <v>62</v>
      </c>
      <c r="E592" s="119" t="s">
        <v>439</v>
      </c>
      <c r="F592" s="107" t="s">
        <v>248</v>
      </c>
      <c r="G592" s="108">
        <v>62.5</v>
      </c>
    </row>
    <row r="593" spans="1:7" ht="30">
      <c r="A593" s="77" t="s">
        <v>13</v>
      </c>
      <c r="B593" s="106" t="s">
        <v>34</v>
      </c>
      <c r="C593" s="106" t="s">
        <v>52</v>
      </c>
      <c r="D593" s="106" t="s">
        <v>62</v>
      </c>
      <c r="E593" s="119" t="s">
        <v>439</v>
      </c>
      <c r="F593" s="107" t="s">
        <v>12</v>
      </c>
      <c r="G593" s="108">
        <v>16</v>
      </c>
    </row>
    <row r="594" spans="1:7" ht="45">
      <c r="A594" s="89" t="s">
        <v>442</v>
      </c>
      <c r="B594" s="106" t="s">
        <v>34</v>
      </c>
      <c r="C594" s="106" t="s">
        <v>52</v>
      </c>
      <c r="D594" s="106" t="s">
        <v>62</v>
      </c>
      <c r="E594" s="119" t="s">
        <v>441</v>
      </c>
      <c r="F594" s="107"/>
      <c r="G594" s="108">
        <f>G595+G596+G597</f>
        <v>217.2</v>
      </c>
    </row>
    <row r="595" spans="1:7" ht="30">
      <c r="A595" s="75" t="s">
        <v>262</v>
      </c>
      <c r="B595" s="106" t="s">
        <v>34</v>
      </c>
      <c r="C595" s="106" t="s">
        <v>52</v>
      </c>
      <c r="D595" s="106" t="s">
        <v>62</v>
      </c>
      <c r="E595" s="119" t="s">
        <v>441</v>
      </c>
      <c r="F595" s="107" t="s">
        <v>248</v>
      </c>
      <c r="G595" s="108">
        <v>22.2</v>
      </c>
    </row>
    <row r="596" spans="1:7" ht="30">
      <c r="A596" s="86" t="s">
        <v>8</v>
      </c>
      <c r="B596" s="106" t="s">
        <v>34</v>
      </c>
      <c r="C596" s="106" t="s">
        <v>52</v>
      </c>
      <c r="D596" s="106" t="s">
        <v>62</v>
      </c>
      <c r="E596" s="119" t="s">
        <v>441</v>
      </c>
      <c r="F596" s="107" t="s">
        <v>10</v>
      </c>
      <c r="G596" s="108">
        <v>26.8</v>
      </c>
    </row>
    <row r="597" spans="1:7" ht="30">
      <c r="A597" s="77" t="s">
        <v>13</v>
      </c>
      <c r="B597" s="106" t="s">
        <v>34</v>
      </c>
      <c r="C597" s="106" t="s">
        <v>52</v>
      </c>
      <c r="D597" s="106" t="s">
        <v>62</v>
      </c>
      <c r="E597" s="119" t="s">
        <v>441</v>
      </c>
      <c r="F597" s="107" t="s">
        <v>12</v>
      </c>
      <c r="G597" s="108">
        <v>168.2</v>
      </c>
    </row>
    <row r="598" spans="1:7" ht="45">
      <c r="A598" s="77" t="s">
        <v>444</v>
      </c>
      <c r="B598" s="106" t="s">
        <v>34</v>
      </c>
      <c r="C598" s="106" t="s">
        <v>52</v>
      </c>
      <c r="D598" s="106" t="s">
        <v>62</v>
      </c>
      <c r="E598" s="119" t="s">
        <v>443</v>
      </c>
      <c r="F598" s="107"/>
      <c r="G598" s="108">
        <f>G599+G600</f>
        <v>1441.6</v>
      </c>
    </row>
    <row r="599" spans="1:7" ht="30">
      <c r="A599" s="86" t="s">
        <v>8</v>
      </c>
      <c r="B599" s="106" t="s">
        <v>34</v>
      </c>
      <c r="C599" s="106" t="s">
        <v>52</v>
      </c>
      <c r="D599" s="106" t="s">
        <v>62</v>
      </c>
      <c r="E599" s="119" t="s">
        <v>443</v>
      </c>
      <c r="F599" s="107" t="s">
        <v>10</v>
      </c>
      <c r="G599" s="108">
        <v>329.2</v>
      </c>
    </row>
    <row r="600" spans="1:7" ht="30">
      <c r="A600" s="77" t="s">
        <v>13</v>
      </c>
      <c r="B600" s="106" t="s">
        <v>34</v>
      </c>
      <c r="C600" s="106" t="s">
        <v>52</v>
      </c>
      <c r="D600" s="106" t="s">
        <v>62</v>
      </c>
      <c r="E600" s="119" t="s">
        <v>443</v>
      </c>
      <c r="F600" s="107" t="s">
        <v>12</v>
      </c>
      <c r="G600" s="108">
        <v>1112.4</v>
      </c>
    </row>
    <row r="601" spans="1:7" ht="45">
      <c r="A601" s="77" t="s">
        <v>457</v>
      </c>
      <c r="B601" s="106" t="s">
        <v>34</v>
      </c>
      <c r="C601" s="106" t="s">
        <v>52</v>
      </c>
      <c r="D601" s="106" t="s">
        <v>62</v>
      </c>
      <c r="E601" s="119" t="s">
        <v>425</v>
      </c>
      <c r="F601" s="107"/>
      <c r="G601" s="108">
        <f>G602</f>
        <v>3079.8</v>
      </c>
    </row>
    <row r="602" spans="1:7" ht="30">
      <c r="A602" s="77" t="s">
        <v>13</v>
      </c>
      <c r="B602" s="106" t="s">
        <v>34</v>
      </c>
      <c r="C602" s="106" t="s">
        <v>52</v>
      </c>
      <c r="D602" s="106" t="s">
        <v>62</v>
      </c>
      <c r="E602" s="119" t="s">
        <v>425</v>
      </c>
      <c r="F602" s="107" t="s">
        <v>12</v>
      </c>
      <c r="G602" s="108">
        <v>3079.8</v>
      </c>
    </row>
    <row r="603" spans="1:7" ht="60">
      <c r="A603" s="77" t="s">
        <v>458</v>
      </c>
      <c r="B603" s="106" t="s">
        <v>34</v>
      </c>
      <c r="C603" s="106" t="s">
        <v>52</v>
      </c>
      <c r="D603" s="106" t="s">
        <v>62</v>
      </c>
      <c r="E603" s="119" t="s">
        <v>456</v>
      </c>
      <c r="F603" s="107"/>
      <c r="G603" s="108">
        <f>G604</f>
        <v>1078.7</v>
      </c>
    </row>
    <row r="604" spans="1:7" ht="30">
      <c r="A604" s="77" t="s">
        <v>13</v>
      </c>
      <c r="B604" s="106" t="s">
        <v>34</v>
      </c>
      <c r="C604" s="106" t="s">
        <v>52</v>
      </c>
      <c r="D604" s="106" t="s">
        <v>62</v>
      </c>
      <c r="E604" s="119" t="s">
        <v>456</v>
      </c>
      <c r="F604" s="107" t="s">
        <v>12</v>
      </c>
      <c r="G604" s="108">
        <v>1078.7</v>
      </c>
    </row>
    <row r="605" spans="1:7" ht="15">
      <c r="A605" s="75" t="s">
        <v>282</v>
      </c>
      <c r="B605" s="106" t="s">
        <v>34</v>
      </c>
      <c r="C605" s="106" t="s">
        <v>45</v>
      </c>
      <c r="D605" s="106"/>
      <c r="E605" s="106"/>
      <c r="F605" s="107"/>
      <c r="G605" s="108">
        <f>G606</f>
        <v>495.8</v>
      </c>
    </row>
    <row r="606" spans="1:7" ht="15">
      <c r="A606" s="75" t="s">
        <v>207</v>
      </c>
      <c r="B606" s="106" t="s">
        <v>34</v>
      </c>
      <c r="C606" s="106" t="s">
        <v>45</v>
      </c>
      <c r="D606" s="106" t="s">
        <v>208</v>
      </c>
      <c r="E606" s="106"/>
      <c r="F606" s="107"/>
      <c r="G606" s="108">
        <f>G607</f>
        <v>495.8</v>
      </c>
    </row>
    <row r="607" spans="1:7" ht="105">
      <c r="A607" s="77" t="s">
        <v>235</v>
      </c>
      <c r="B607" s="106" t="s">
        <v>34</v>
      </c>
      <c r="C607" s="106" t="s">
        <v>45</v>
      </c>
      <c r="D607" s="106" t="s">
        <v>208</v>
      </c>
      <c r="E607" s="106" t="s">
        <v>236</v>
      </c>
      <c r="F607" s="109"/>
      <c r="G607" s="108">
        <f>G608</f>
        <v>495.8</v>
      </c>
    </row>
    <row r="608" spans="1:7" ht="30">
      <c r="A608" s="77" t="s">
        <v>174</v>
      </c>
      <c r="B608" s="106" t="s">
        <v>34</v>
      </c>
      <c r="C608" s="106" t="s">
        <v>45</v>
      </c>
      <c r="D608" s="106" t="s">
        <v>208</v>
      </c>
      <c r="E608" s="106" t="s">
        <v>170</v>
      </c>
      <c r="F608" s="109"/>
      <c r="G608" s="108">
        <f>G609</f>
        <v>495.8</v>
      </c>
    </row>
    <row r="609" spans="1:7" ht="120">
      <c r="A609" s="77" t="s">
        <v>349</v>
      </c>
      <c r="B609" s="106" t="s">
        <v>34</v>
      </c>
      <c r="C609" s="106" t="s">
        <v>45</v>
      </c>
      <c r="D609" s="106" t="s">
        <v>208</v>
      </c>
      <c r="E609" s="106" t="s">
        <v>171</v>
      </c>
      <c r="F609" s="109"/>
      <c r="G609" s="108">
        <f>G610+G611</f>
        <v>495.8</v>
      </c>
    </row>
    <row r="610" spans="1:7" ht="15">
      <c r="A610" s="86" t="s">
        <v>242</v>
      </c>
      <c r="B610" s="106" t="s">
        <v>34</v>
      </c>
      <c r="C610" s="106" t="s">
        <v>45</v>
      </c>
      <c r="D610" s="106" t="s">
        <v>208</v>
      </c>
      <c r="E610" s="106" t="s">
        <v>171</v>
      </c>
      <c r="F610" s="109" t="s">
        <v>295</v>
      </c>
      <c r="G610" s="108">
        <v>391.5</v>
      </c>
    </row>
    <row r="611" spans="1:7" ht="30">
      <c r="A611" s="75" t="s">
        <v>262</v>
      </c>
      <c r="B611" s="106" t="s">
        <v>34</v>
      </c>
      <c r="C611" s="106" t="s">
        <v>45</v>
      </c>
      <c r="D611" s="106" t="s">
        <v>208</v>
      </c>
      <c r="E611" s="106" t="s">
        <v>171</v>
      </c>
      <c r="F611" s="109" t="s">
        <v>248</v>
      </c>
      <c r="G611" s="108">
        <v>104.3</v>
      </c>
    </row>
    <row r="612" spans="1:7" ht="15">
      <c r="A612" s="89" t="s">
        <v>25</v>
      </c>
      <c r="B612" s="106" t="s">
        <v>34</v>
      </c>
      <c r="C612" s="106" t="s">
        <v>71</v>
      </c>
      <c r="D612" s="106"/>
      <c r="E612" s="106"/>
      <c r="F612" s="107"/>
      <c r="G612" s="108">
        <f>G613+G617</f>
        <v>37856.1</v>
      </c>
    </row>
    <row r="613" spans="1:7" ht="15">
      <c r="A613" s="75" t="s">
        <v>74</v>
      </c>
      <c r="B613" s="106" t="s">
        <v>34</v>
      </c>
      <c r="C613" s="106" t="s">
        <v>71</v>
      </c>
      <c r="D613" s="106" t="s">
        <v>75</v>
      </c>
      <c r="E613" s="106"/>
      <c r="F613" s="107"/>
      <c r="G613" s="108">
        <f>G614</f>
        <v>169.4</v>
      </c>
    </row>
    <row r="614" spans="1:7" ht="30">
      <c r="A614" s="75" t="s">
        <v>100</v>
      </c>
      <c r="B614" s="106" t="s">
        <v>34</v>
      </c>
      <c r="C614" s="106" t="s">
        <v>71</v>
      </c>
      <c r="D614" s="106" t="s">
        <v>75</v>
      </c>
      <c r="E614" s="106" t="s">
        <v>177</v>
      </c>
      <c r="F614" s="107"/>
      <c r="G614" s="108">
        <f>G615</f>
        <v>169.4</v>
      </c>
    </row>
    <row r="615" spans="1:7" ht="45">
      <c r="A615" s="75" t="s">
        <v>379</v>
      </c>
      <c r="B615" s="106" t="s">
        <v>34</v>
      </c>
      <c r="C615" s="106" t="s">
        <v>71</v>
      </c>
      <c r="D615" s="106" t="s">
        <v>75</v>
      </c>
      <c r="E615" s="106" t="s">
        <v>178</v>
      </c>
      <c r="F615" s="107"/>
      <c r="G615" s="108">
        <f>G616</f>
        <v>169.4</v>
      </c>
    </row>
    <row r="616" spans="1:7" ht="30">
      <c r="A616" s="77" t="s">
        <v>263</v>
      </c>
      <c r="B616" s="106" t="s">
        <v>34</v>
      </c>
      <c r="C616" s="106" t="s">
        <v>71</v>
      </c>
      <c r="D616" s="106" t="s">
        <v>75</v>
      </c>
      <c r="E616" s="106" t="s">
        <v>178</v>
      </c>
      <c r="F616" s="107" t="s">
        <v>2</v>
      </c>
      <c r="G616" s="108">
        <f>150-39.1+58.5</f>
        <v>169.4</v>
      </c>
    </row>
    <row r="617" spans="1:7" ht="15">
      <c r="A617" s="75" t="s">
        <v>118</v>
      </c>
      <c r="B617" s="106" t="s">
        <v>34</v>
      </c>
      <c r="C617" s="106" t="s">
        <v>71</v>
      </c>
      <c r="D617" s="106" t="s">
        <v>77</v>
      </c>
      <c r="E617" s="106"/>
      <c r="F617" s="107"/>
      <c r="G617" s="108">
        <f>G618+G623+G626</f>
        <v>37686.7</v>
      </c>
    </row>
    <row r="618" spans="1:7" ht="30">
      <c r="A618" s="94" t="s">
        <v>165</v>
      </c>
      <c r="B618" s="106" t="s">
        <v>34</v>
      </c>
      <c r="C618" s="106" t="s">
        <v>71</v>
      </c>
      <c r="D618" s="106" t="s">
        <v>77</v>
      </c>
      <c r="E618" s="123" t="s">
        <v>166</v>
      </c>
      <c r="F618" s="107"/>
      <c r="G618" s="108">
        <f>G619+G621</f>
        <v>33870.6</v>
      </c>
    </row>
    <row r="619" spans="1:7" ht="75">
      <c r="A619" s="94" t="s">
        <v>366</v>
      </c>
      <c r="B619" s="106" t="s">
        <v>34</v>
      </c>
      <c r="C619" s="106" t="s">
        <v>71</v>
      </c>
      <c r="D619" s="106" t="s">
        <v>77</v>
      </c>
      <c r="E619" s="123" t="s">
        <v>365</v>
      </c>
      <c r="F619" s="107"/>
      <c r="G619" s="108">
        <f>G620</f>
        <v>13665.4</v>
      </c>
    </row>
    <row r="620" spans="1:7" ht="45">
      <c r="A620" s="75" t="s">
        <v>0</v>
      </c>
      <c r="B620" s="106" t="s">
        <v>34</v>
      </c>
      <c r="C620" s="106" t="s">
        <v>71</v>
      </c>
      <c r="D620" s="106" t="s">
        <v>77</v>
      </c>
      <c r="E620" s="123" t="s">
        <v>365</v>
      </c>
      <c r="F620" s="107" t="s">
        <v>1</v>
      </c>
      <c r="G620" s="108">
        <v>13665.4</v>
      </c>
    </row>
    <row r="621" spans="1:7" ht="45">
      <c r="A621" s="75" t="s">
        <v>380</v>
      </c>
      <c r="B621" s="106" t="s">
        <v>34</v>
      </c>
      <c r="C621" s="106" t="s">
        <v>71</v>
      </c>
      <c r="D621" s="106" t="s">
        <v>77</v>
      </c>
      <c r="E621" s="123" t="s">
        <v>353</v>
      </c>
      <c r="F621" s="107"/>
      <c r="G621" s="108">
        <f>G622</f>
        <v>20205.2</v>
      </c>
    </row>
    <row r="622" spans="1:7" ht="30">
      <c r="A622" s="75" t="s">
        <v>263</v>
      </c>
      <c r="B622" s="106" t="s">
        <v>34</v>
      </c>
      <c r="C622" s="106" t="s">
        <v>71</v>
      </c>
      <c r="D622" s="106" t="s">
        <v>77</v>
      </c>
      <c r="E622" s="123" t="s">
        <v>353</v>
      </c>
      <c r="F622" s="107" t="s">
        <v>2</v>
      </c>
      <c r="G622" s="108">
        <v>20205.2</v>
      </c>
    </row>
    <row r="623" spans="1:7" ht="105">
      <c r="A623" s="75" t="s">
        <v>237</v>
      </c>
      <c r="B623" s="106" t="s">
        <v>34</v>
      </c>
      <c r="C623" s="106" t="s">
        <v>71</v>
      </c>
      <c r="D623" s="106" t="s">
        <v>77</v>
      </c>
      <c r="E623" s="124" t="s">
        <v>236</v>
      </c>
      <c r="F623" s="107"/>
      <c r="G623" s="108">
        <f>G624</f>
        <v>34.6</v>
      </c>
    </row>
    <row r="624" spans="1:7" ht="45">
      <c r="A624" s="75" t="s">
        <v>277</v>
      </c>
      <c r="B624" s="106" t="s">
        <v>34</v>
      </c>
      <c r="C624" s="106" t="s">
        <v>71</v>
      </c>
      <c r="D624" s="106" t="s">
        <v>77</v>
      </c>
      <c r="E624" s="124" t="s">
        <v>278</v>
      </c>
      <c r="F624" s="95"/>
      <c r="G624" s="108">
        <f>G625</f>
        <v>34.6</v>
      </c>
    </row>
    <row r="625" spans="1:7" ht="30">
      <c r="A625" s="77" t="s">
        <v>263</v>
      </c>
      <c r="B625" s="106" t="s">
        <v>34</v>
      </c>
      <c r="C625" s="106" t="s">
        <v>71</v>
      </c>
      <c r="D625" s="106" t="s">
        <v>77</v>
      </c>
      <c r="E625" s="124" t="s">
        <v>278</v>
      </c>
      <c r="F625" s="125" t="s">
        <v>2</v>
      </c>
      <c r="G625" s="108">
        <v>34.6</v>
      </c>
    </row>
    <row r="626" spans="1:7" ht="75">
      <c r="A626" s="77" t="s">
        <v>373</v>
      </c>
      <c r="B626" s="106" t="s">
        <v>34</v>
      </c>
      <c r="C626" s="106" t="s">
        <v>71</v>
      </c>
      <c r="D626" s="106" t="s">
        <v>77</v>
      </c>
      <c r="E626" s="124" t="s">
        <v>514</v>
      </c>
      <c r="F626" s="125"/>
      <c r="G626" s="108">
        <f>G627</f>
        <v>3781.5</v>
      </c>
    </row>
    <row r="627" spans="1:7" ht="30">
      <c r="A627" s="77" t="s">
        <v>263</v>
      </c>
      <c r="B627" s="106" t="s">
        <v>34</v>
      </c>
      <c r="C627" s="106" t="s">
        <v>71</v>
      </c>
      <c r="D627" s="106" t="s">
        <v>77</v>
      </c>
      <c r="E627" s="124" t="s">
        <v>514</v>
      </c>
      <c r="F627" s="125" t="s">
        <v>2</v>
      </c>
      <c r="G627" s="108">
        <f>4677.1-895.6</f>
        <v>3781.5</v>
      </c>
    </row>
    <row r="628" spans="1:7" ht="15">
      <c r="A628" s="75" t="s">
        <v>117</v>
      </c>
      <c r="B628" s="106" t="s">
        <v>34</v>
      </c>
      <c r="C628" s="106" t="s">
        <v>202</v>
      </c>
      <c r="D628" s="106"/>
      <c r="E628" s="106"/>
      <c r="F628" s="107"/>
      <c r="G628" s="108">
        <f>G630+G635</f>
        <v>5169.9</v>
      </c>
    </row>
    <row r="629" spans="1:7" ht="15">
      <c r="A629" s="75" t="s">
        <v>347</v>
      </c>
      <c r="B629" s="106" t="s">
        <v>34</v>
      </c>
      <c r="C629" s="106" t="s">
        <v>202</v>
      </c>
      <c r="D629" s="106" t="s">
        <v>212</v>
      </c>
      <c r="E629" s="106"/>
      <c r="F629" s="107"/>
      <c r="G629" s="108">
        <f>G630+G635</f>
        <v>5169.9</v>
      </c>
    </row>
    <row r="630" spans="1:7" ht="30">
      <c r="A630" s="75" t="s">
        <v>100</v>
      </c>
      <c r="B630" s="106" t="s">
        <v>34</v>
      </c>
      <c r="C630" s="106" t="s">
        <v>202</v>
      </c>
      <c r="D630" s="106" t="s">
        <v>212</v>
      </c>
      <c r="E630" s="106" t="s">
        <v>101</v>
      </c>
      <c r="F630" s="107"/>
      <c r="G630" s="108">
        <f>G631</f>
        <v>4224.7</v>
      </c>
    </row>
    <row r="631" spans="1:7" ht="45">
      <c r="A631" s="75" t="s">
        <v>387</v>
      </c>
      <c r="B631" s="106" t="s">
        <v>34</v>
      </c>
      <c r="C631" s="106" t="s">
        <v>202</v>
      </c>
      <c r="D631" s="106" t="s">
        <v>212</v>
      </c>
      <c r="E631" s="106" t="s">
        <v>280</v>
      </c>
      <c r="F631" s="107"/>
      <c r="G631" s="108">
        <f>G632</f>
        <v>4224.7</v>
      </c>
    </row>
    <row r="632" spans="1:7" ht="45">
      <c r="A632" s="75" t="s">
        <v>389</v>
      </c>
      <c r="B632" s="106" t="s">
        <v>34</v>
      </c>
      <c r="C632" s="106" t="s">
        <v>202</v>
      </c>
      <c r="D632" s="106" t="s">
        <v>212</v>
      </c>
      <c r="E632" s="106" t="s">
        <v>331</v>
      </c>
      <c r="F632" s="107"/>
      <c r="G632" s="108">
        <f>G633+G634</f>
        <v>4224.7</v>
      </c>
    </row>
    <row r="633" spans="1:7" ht="30">
      <c r="A633" s="75" t="s">
        <v>262</v>
      </c>
      <c r="B633" s="106" t="s">
        <v>34</v>
      </c>
      <c r="C633" s="106" t="s">
        <v>202</v>
      </c>
      <c r="D633" s="106" t="s">
        <v>212</v>
      </c>
      <c r="E633" s="106" t="s">
        <v>345</v>
      </c>
      <c r="F633" s="107" t="s">
        <v>248</v>
      </c>
      <c r="G633" s="108">
        <f>2000-1915</f>
        <v>85</v>
      </c>
    </row>
    <row r="634" spans="1:7" ht="30">
      <c r="A634" s="133" t="s">
        <v>13</v>
      </c>
      <c r="B634" s="106" t="s">
        <v>34</v>
      </c>
      <c r="C634" s="106" t="s">
        <v>202</v>
      </c>
      <c r="D634" s="106" t="s">
        <v>212</v>
      </c>
      <c r="E634" s="106" t="s">
        <v>345</v>
      </c>
      <c r="F634" s="107" t="s">
        <v>12</v>
      </c>
      <c r="G634" s="108">
        <f>8392.2-3752.5-500</f>
        <v>4139.7</v>
      </c>
    </row>
    <row r="635" spans="1:7" ht="45">
      <c r="A635" s="75" t="s">
        <v>436</v>
      </c>
      <c r="B635" s="106" t="s">
        <v>34</v>
      </c>
      <c r="C635" s="106" t="s">
        <v>202</v>
      </c>
      <c r="D635" s="106" t="s">
        <v>212</v>
      </c>
      <c r="E635" s="111" t="s">
        <v>435</v>
      </c>
      <c r="F635" s="107"/>
      <c r="G635" s="108">
        <f>G636</f>
        <v>945.2</v>
      </c>
    </row>
    <row r="636" spans="1:7" ht="60">
      <c r="A636" s="75" t="s">
        <v>461</v>
      </c>
      <c r="B636" s="106" t="s">
        <v>34</v>
      </c>
      <c r="C636" s="106" t="s">
        <v>202</v>
      </c>
      <c r="D636" s="106" t="s">
        <v>212</v>
      </c>
      <c r="E636" s="111" t="s">
        <v>449</v>
      </c>
      <c r="F636" s="107"/>
      <c r="G636" s="108">
        <f>G637+G639</f>
        <v>945.2</v>
      </c>
    </row>
    <row r="637" spans="1:7" ht="60">
      <c r="A637" s="133" t="s">
        <v>462</v>
      </c>
      <c r="B637" s="106" t="s">
        <v>34</v>
      </c>
      <c r="C637" s="106" t="s">
        <v>202</v>
      </c>
      <c r="D637" s="106" t="s">
        <v>212</v>
      </c>
      <c r="E637" s="111" t="s">
        <v>450</v>
      </c>
      <c r="F637" s="107"/>
      <c r="G637" s="108">
        <f>G638</f>
        <v>259</v>
      </c>
    </row>
    <row r="638" spans="1:7" ht="30">
      <c r="A638" s="133" t="s">
        <v>13</v>
      </c>
      <c r="B638" s="106" t="s">
        <v>34</v>
      </c>
      <c r="C638" s="106" t="s">
        <v>202</v>
      </c>
      <c r="D638" s="106" t="s">
        <v>212</v>
      </c>
      <c r="E638" s="111" t="s">
        <v>450</v>
      </c>
      <c r="F638" s="107" t="s">
        <v>12</v>
      </c>
      <c r="G638" s="108">
        <v>259</v>
      </c>
    </row>
    <row r="639" spans="1:7" ht="60">
      <c r="A639" s="133" t="s">
        <v>463</v>
      </c>
      <c r="B639" s="106" t="s">
        <v>34</v>
      </c>
      <c r="C639" s="106" t="s">
        <v>202</v>
      </c>
      <c r="D639" s="106" t="s">
        <v>212</v>
      </c>
      <c r="E639" s="111" t="s">
        <v>454</v>
      </c>
      <c r="F639" s="107"/>
      <c r="G639" s="108">
        <f>G640+G641</f>
        <v>686.2</v>
      </c>
    </row>
    <row r="640" spans="1:7" ht="30">
      <c r="A640" s="75" t="s">
        <v>262</v>
      </c>
      <c r="B640" s="106" t="s">
        <v>34</v>
      </c>
      <c r="C640" s="106" t="s">
        <v>202</v>
      </c>
      <c r="D640" s="106" t="s">
        <v>212</v>
      </c>
      <c r="E640" s="111" t="s">
        <v>454</v>
      </c>
      <c r="F640" s="107" t="s">
        <v>248</v>
      </c>
      <c r="G640" s="108">
        <v>19.2</v>
      </c>
    </row>
    <row r="641" spans="1:7" ht="30">
      <c r="A641" s="133" t="s">
        <v>13</v>
      </c>
      <c r="B641" s="106" t="s">
        <v>34</v>
      </c>
      <c r="C641" s="106" t="s">
        <v>202</v>
      </c>
      <c r="D641" s="106" t="s">
        <v>212</v>
      </c>
      <c r="E641" s="111" t="s">
        <v>454</v>
      </c>
      <c r="F641" s="107" t="s">
        <v>12</v>
      </c>
      <c r="G641" s="108">
        <v>667</v>
      </c>
    </row>
    <row r="642" spans="1:7" ht="42.75">
      <c r="A642" s="87" t="s">
        <v>319</v>
      </c>
      <c r="B642" s="102" t="s">
        <v>29</v>
      </c>
      <c r="C642" s="106"/>
      <c r="D642" s="106"/>
      <c r="E642" s="123"/>
      <c r="F642" s="107"/>
      <c r="G642" s="105">
        <f>G647+G654+G644+G700</f>
        <v>111678.2</v>
      </c>
    </row>
    <row r="643" spans="1:7" ht="15">
      <c r="A643" s="75" t="s">
        <v>79</v>
      </c>
      <c r="B643" s="106" t="s">
        <v>29</v>
      </c>
      <c r="C643" s="106" t="s">
        <v>47</v>
      </c>
      <c r="D643" s="106"/>
      <c r="E643" s="123"/>
      <c r="F643" s="107"/>
      <c r="G643" s="139">
        <f>G644</f>
        <v>173</v>
      </c>
    </row>
    <row r="644" spans="1:7" ht="30">
      <c r="A644" s="75" t="s">
        <v>48</v>
      </c>
      <c r="B644" s="106" t="s">
        <v>29</v>
      </c>
      <c r="C644" s="106" t="s">
        <v>47</v>
      </c>
      <c r="D644" s="106" t="s">
        <v>143</v>
      </c>
      <c r="E644" s="123"/>
      <c r="F644" s="107"/>
      <c r="G644" s="139">
        <f>G645</f>
        <v>173</v>
      </c>
    </row>
    <row r="645" spans="1:7" ht="60">
      <c r="A645" s="75" t="s">
        <v>423</v>
      </c>
      <c r="B645" s="112" t="s">
        <v>29</v>
      </c>
      <c r="C645" s="106" t="s">
        <v>47</v>
      </c>
      <c r="D645" s="106" t="s">
        <v>143</v>
      </c>
      <c r="E645" s="111" t="s">
        <v>426</v>
      </c>
      <c r="F645" s="107"/>
      <c r="G645" s="139">
        <f>G646</f>
        <v>173</v>
      </c>
    </row>
    <row r="646" spans="1:7" ht="30">
      <c r="A646" s="133" t="s">
        <v>13</v>
      </c>
      <c r="B646" s="112" t="s">
        <v>29</v>
      </c>
      <c r="C646" s="106" t="s">
        <v>47</v>
      </c>
      <c r="D646" s="106" t="s">
        <v>143</v>
      </c>
      <c r="E646" s="111" t="s">
        <v>426</v>
      </c>
      <c r="F646" s="107" t="s">
        <v>12</v>
      </c>
      <c r="G646" s="139">
        <v>173</v>
      </c>
    </row>
    <row r="647" spans="1:7" ht="15">
      <c r="A647" s="75" t="s">
        <v>30</v>
      </c>
      <c r="B647" s="106" t="s">
        <v>29</v>
      </c>
      <c r="C647" s="106" t="s">
        <v>52</v>
      </c>
      <c r="D647" s="112"/>
      <c r="E647" s="111"/>
      <c r="F647" s="107"/>
      <c r="G647" s="108">
        <f>G648</f>
        <v>19390.6</v>
      </c>
    </row>
    <row r="648" spans="1:7" ht="15">
      <c r="A648" s="75" t="s">
        <v>33</v>
      </c>
      <c r="B648" s="106" t="s">
        <v>29</v>
      </c>
      <c r="C648" s="106" t="s">
        <v>52</v>
      </c>
      <c r="D648" s="106" t="s">
        <v>55</v>
      </c>
      <c r="E648" s="106"/>
      <c r="F648" s="107"/>
      <c r="G648" s="108">
        <f>G649</f>
        <v>19390.6</v>
      </c>
    </row>
    <row r="649" spans="1:7" ht="15">
      <c r="A649" s="75" t="s">
        <v>111</v>
      </c>
      <c r="B649" s="106" t="s">
        <v>29</v>
      </c>
      <c r="C649" s="106" t="s">
        <v>52</v>
      </c>
      <c r="D649" s="106" t="s">
        <v>55</v>
      </c>
      <c r="E649" s="106" t="s">
        <v>58</v>
      </c>
      <c r="F649" s="107"/>
      <c r="G649" s="108">
        <f>G650+G652</f>
        <v>19390.6</v>
      </c>
    </row>
    <row r="650" spans="1:7" ht="30">
      <c r="A650" s="75" t="s">
        <v>275</v>
      </c>
      <c r="B650" s="106" t="s">
        <v>29</v>
      </c>
      <c r="C650" s="106" t="s">
        <v>52</v>
      </c>
      <c r="D650" s="106" t="s">
        <v>55</v>
      </c>
      <c r="E650" s="106" t="s">
        <v>313</v>
      </c>
      <c r="F650" s="107"/>
      <c r="G650" s="108">
        <f>G651</f>
        <v>17856</v>
      </c>
    </row>
    <row r="651" spans="1:7" ht="60">
      <c r="A651" s="86" t="s">
        <v>14</v>
      </c>
      <c r="B651" s="106" t="s">
        <v>29</v>
      </c>
      <c r="C651" s="106" t="s">
        <v>52</v>
      </c>
      <c r="D651" s="106" t="s">
        <v>55</v>
      </c>
      <c r="E651" s="106" t="s">
        <v>313</v>
      </c>
      <c r="F651" s="107" t="s">
        <v>11</v>
      </c>
      <c r="G651" s="108">
        <f>22363-826.2-584.8-4249+1153</f>
        <v>17856</v>
      </c>
    </row>
    <row r="652" spans="1:7" ht="30">
      <c r="A652" s="86" t="s">
        <v>429</v>
      </c>
      <c r="B652" s="106" t="s">
        <v>29</v>
      </c>
      <c r="C652" s="106" t="s">
        <v>52</v>
      </c>
      <c r="D652" s="106" t="s">
        <v>55</v>
      </c>
      <c r="E652" s="106" t="s">
        <v>431</v>
      </c>
      <c r="F652" s="107"/>
      <c r="G652" s="108">
        <f>G653</f>
        <v>1534.6</v>
      </c>
    </row>
    <row r="653" spans="1:7" ht="30">
      <c r="A653" s="133" t="s">
        <v>13</v>
      </c>
      <c r="B653" s="106" t="s">
        <v>29</v>
      </c>
      <c r="C653" s="106" t="s">
        <v>52</v>
      </c>
      <c r="D653" s="106" t="s">
        <v>55</v>
      </c>
      <c r="E653" s="106" t="s">
        <v>431</v>
      </c>
      <c r="F653" s="107" t="s">
        <v>12</v>
      </c>
      <c r="G653" s="108">
        <v>1534.6</v>
      </c>
    </row>
    <row r="654" spans="1:7" ht="15">
      <c r="A654" s="86" t="s">
        <v>270</v>
      </c>
      <c r="B654" s="106" t="s">
        <v>29</v>
      </c>
      <c r="C654" s="106" t="s">
        <v>26</v>
      </c>
      <c r="D654" s="106"/>
      <c r="E654" s="106"/>
      <c r="F654" s="107"/>
      <c r="G654" s="108">
        <f>G655+G684</f>
        <v>88820.4</v>
      </c>
    </row>
    <row r="655" spans="1:7" ht="15">
      <c r="A655" s="86" t="s">
        <v>64</v>
      </c>
      <c r="B655" s="106" t="s">
        <v>29</v>
      </c>
      <c r="C655" s="106" t="s">
        <v>26</v>
      </c>
      <c r="D655" s="106" t="s">
        <v>65</v>
      </c>
      <c r="E655" s="106"/>
      <c r="F655" s="126"/>
      <c r="G655" s="108">
        <f>G656+G663+G668+G673+G678</f>
        <v>78864.8</v>
      </c>
    </row>
    <row r="656" spans="1:7" ht="30">
      <c r="A656" s="75" t="s">
        <v>316</v>
      </c>
      <c r="B656" s="106" t="s">
        <v>29</v>
      </c>
      <c r="C656" s="106" t="s">
        <v>26</v>
      </c>
      <c r="D656" s="106" t="s">
        <v>65</v>
      </c>
      <c r="E656" s="106" t="s">
        <v>66</v>
      </c>
      <c r="F656" s="107"/>
      <c r="G656" s="108">
        <f>G657+G659+G661</f>
        <v>23037.6</v>
      </c>
    </row>
    <row r="657" spans="1:7" ht="45">
      <c r="A657" s="75" t="s">
        <v>224</v>
      </c>
      <c r="B657" s="106" t="s">
        <v>29</v>
      </c>
      <c r="C657" s="106" t="s">
        <v>26</v>
      </c>
      <c r="D657" s="106" t="s">
        <v>65</v>
      </c>
      <c r="E657" s="106" t="s">
        <v>271</v>
      </c>
      <c r="F657" s="107"/>
      <c r="G657" s="108">
        <f>G658</f>
        <v>162.4</v>
      </c>
    </row>
    <row r="658" spans="1:7" ht="30">
      <c r="A658" s="93" t="s">
        <v>8</v>
      </c>
      <c r="B658" s="106" t="s">
        <v>29</v>
      </c>
      <c r="C658" s="106" t="s">
        <v>26</v>
      </c>
      <c r="D658" s="106" t="s">
        <v>65</v>
      </c>
      <c r="E658" s="106" t="s">
        <v>271</v>
      </c>
      <c r="F658" s="107" t="s">
        <v>10</v>
      </c>
      <c r="G658" s="108">
        <f>132.7+29.7</f>
        <v>162.4</v>
      </c>
    </row>
    <row r="659" spans="1:7" ht="30">
      <c r="A659" s="75" t="s">
        <v>275</v>
      </c>
      <c r="B659" s="106" t="s">
        <v>29</v>
      </c>
      <c r="C659" s="106" t="s">
        <v>26</v>
      </c>
      <c r="D659" s="106" t="s">
        <v>65</v>
      </c>
      <c r="E659" s="106" t="s">
        <v>314</v>
      </c>
      <c r="F659" s="107"/>
      <c r="G659" s="108">
        <f>G660</f>
        <v>21358.3</v>
      </c>
    </row>
    <row r="660" spans="1:7" ht="60">
      <c r="A660" s="86" t="s">
        <v>14</v>
      </c>
      <c r="B660" s="106" t="s">
        <v>29</v>
      </c>
      <c r="C660" s="106" t="s">
        <v>26</v>
      </c>
      <c r="D660" s="106" t="s">
        <v>65</v>
      </c>
      <c r="E660" s="106" t="s">
        <v>314</v>
      </c>
      <c r="F660" s="107" t="s">
        <v>11</v>
      </c>
      <c r="G660" s="108">
        <f>16753.9+261.4+3127+1216</f>
        <v>21358.3</v>
      </c>
    </row>
    <row r="661" spans="1:7" ht="30">
      <c r="A661" s="86" t="s">
        <v>429</v>
      </c>
      <c r="B661" s="106" t="s">
        <v>29</v>
      </c>
      <c r="C661" s="106" t="s">
        <v>26</v>
      </c>
      <c r="D661" s="106" t="s">
        <v>65</v>
      </c>
      <c r="E661" s="106" t="s">
        <v>467</v>
      </c>
      <c r="F661" s="107"/>
      <c r="G661" s="108">
        <f>G662</f>
        <v>1516.9</v>
      </c>
    </row>
    <row r="662" spans="1:7" ht="30">
      <c r="A662" s="133" t="s">
        <v>13</v>
      </c>
      <c r="B662" s="106" t="s">
        <v>29</v>
      </c>
      <c r="C662" s="106" t="s">
        <v>26</v>
      </c>
      <c r="D662" s="106" t="s">
        <v>65</v>
      </c>
      <c r="E662" s="106" t="s">
        <v>467</v>
      </c>
      <c r="F662" s="107" t="s">
        <v>12</v>
      </c>
      <c r="G662" s="108">
        <f>1534.2-17.3</f>
        <v>1516.9</v>
      </c>
    </row>
    <row r="663" spans="1:7" ht="15">
      <c r="A663" s="75" t="s">
        <v>67</v>
      </c>
      <c r="B663" s="106" t="s">
        <v>29</v>
      </c>
      <c r="C663" s="106" t="s">
        <v>26</v>
      </c>
      <c r="D663" s="106" t="s">
        <v>65</v>
      </c>
      <c r="E663" s="106" t="s">
        <v>68</v>
      </c>
      <c r="F663" s="107"/>
      <c r="G663" s="108">
        <f>G664+G666</f>
        <v>2983.4</v>
      </c>
    </row>
    <row r="664" spans="1:7" ht="30">
      <c r="A664" s="75" t="s">
        <v>275</v>
      </c>
      <c r="B664" s="106" t="s">
        <v>29</v>
      </c>
      <c r="C664" s="106" t="s">
        <v>26</v>
      </c>
      <c r="D664" s="106" t="s">
        <v>65</v>
      </c>
      <c r="E664" s="106" t="s">
        <v>128</v>
      </c>
      <c r="F664" s="107"/>
      <c r="G664" s="108">
        <f>G665</f>
        <v>2824.7</v>
      </c>
    </row>
    <row r="665" spans="1:7" ht="60">
      <c r="A665" s="86" t="s">
        <v>274</v>
      </c>
      <c r="B665" s="106" t="s">
        <v>29</v>
      </c>
      <c r="C665" s="106" t="s">
        <v>26</v>
      </c>
      <c r="D665" s="106" t="s">
        <v>65</v>
      </c>
      <c r="E665" s="106" t="s">
        <v>128</v>
      </c>
      <c r="F665" s="107" t="s">
        <v>9</v>
      </c>
      <c r="G665" s="108">
        <f>2779-207+49.7-14+10+207</f>
        <v>2824.7</v>
      </c>
    </row>
    <row r="666" spans="1:7" ht="30">
      <c r="A666" s="86" t="s">
        <v>429</v>
      </c>
      <c r="B666" s="106" t="s">
        <v>29</v>
      </c>
      <c r="C666" s="106" t="s">
        <v>26</v>
      </c>
      <c r="D666" s="106" t="s">
        <v>65</v>
      </c>
      <c r="E666" s="106" t="s">
        <v>468</v>
      </c>
      <c r="F666" s="107"/>
      <c r="G666" s="108">
        <f>G667</f>
        <v>158.7</v>
      </c>
    </row>
    <row r="667" spans="1:7" ht="30">
      <c r="A667" s="93" t="s">
        <v>8</v>
      </c>
      <c r="B667" s="106" t="s">
        <v>29</v>
      </c>
      <c r="C667" s="106" t="s">
        <v>26</v>
      </c>
      <c r="D667" s="106" t="s">
        <v>65</v>
      </c>
      <c r="E667" s="106" t="s">
        <v>468</v>
      </c>
      <c r="F667" s="107" t="s">
        <v>10</v>
      </c>
      <c r="G667" s="108">
        <v>158.7</v>
      </c>
    </row>
    <row r="668" spans="1:7" ht="15">
      <c r="A668" s="75" t="s">
        <v>69</v>
      </c>
      <c r="B668" s="106" t="s">
        <v>29</v>
      </c>
      <c r="C668" s="106" t="s">
        <v>26</v>
      </c>
      <c r="D668" s="106" t="s">
        <v>65</v>
      </c>
      <c r="E668" s="106" t="s">
        <v>70</v>
      </c>
      <c r="F668" s="107"/>
      <c r="G668" s="108">
        <f>G669+G671</f>
        <v>10870.8</v>
      </c>
    </row>
    <row r="669" spans="1:7" ht="30">
      <c r="A669" s="75" t="s">
        <v>275</v>
      </c>
      <c r="B669" s="106" t="s">
        <v>29</v>
      </c>
      <c r="C669" s="106" t="s">
        <v>26</v>
      </c>
      <c r="D669" s="106" t="s">
        <v>65</v>
      </c>
      <c r="E669" s="106" t="s">
        <v>129</v>
      </c>
      <c r="F669" s="107"/>
      <c r="G669" s="108">
        <f>G670</f>
        <v>10501.9</v>
      </c>
    </row>
    <row r="670" spans="1:7" ht="60">
      <c r="A670" s="86" t="s">
        <v>274</v>
      </c>
      <c r="B670" s="106" t="s">
        <v>29</v>
      </c>
      <c r="C670" s="106" t="s">
        <v>26</v>
      </c>
      <c r="D670" s="106" t="s">
        <v>65</v>
      </c>
      <c r="E670" s="106" t="s">
        <v>129</v>
      </c>
      <c r="F670" s="107" t="s">
        <v>9</v>
      </c>
      <c r="G670" s="108">
        <f>10117-245+115.1-154.5+216.3+453</f>
        <v>10501.9</v>
      </c>
    </row>
    <row r="671" spans="1:7" ht="30">
      <c r="A671" s="86" t="s">
        <v>429</v>
      </c>
      <c r="B671" s="106" t="s">
        <v>29</v>
      </c>
      <c r="C671" s="106" t="s">
        <v>26</v>
      </c>
      <c r="D671" s="106" t="s">
        <v>65</v>
      </c>
      <c r="E671" s="106" t="s">
        <v>469</v>
      </c>
      <c r="F671" s="107"/>
      <c r="G671" s="108">
        <f>G672</f>
        <v>368.9</v>
      </c>
    </row>
    <row r="672" spans="1:7" ht="30">
      <c r="A672" s="93" t="s">
        <v>8</v>
      </c>
      <c r="B672" s="106" t="s">
        <v>29</v>
      </c>
      <c r="C672" s="106" t="s">
        <v>26</v>
      </c>
      <c r="D672" s="106" t="s">
        <v>65</v>
      </c>
      <c r="E672" s="106" t="s">
        <v>469</v>
      </c>
      <c r="F672" s="107" t="s">
        <v>10</v>
      </c>
      <c r="G672" s="108">
        <v>368.9</v>
      </c>
    </row>
    <row r="673" spans="1:7" ht="30">
      <c r="A673" s="75" t="s">
        <v>100</v>
      </c>
      <c r="B673" s="106" t="s">
        <v>29</v>
      </c>
      <c r="C673" s="106" t="s">
        <v>26</v>
      </c>
      <c r="D673" s="106" t="s">
        <v>65</v>
      </c>
      <c r="E673" s="106" t="s">
        <v>101</v>
      </c>
      <c r="F673" s="107"/>
      <c r="G673" s="108">
        <f>G674+G682</f>
        <v>40545.2</v>
      </c>
    </row>
    <row r="674" spans="1:7" ht="30">
      <c r="A674" s="75" t="s">
        <v>281</v>
      </c>
      <c r="B674" s="106" t="s">
        <v>29</v>
      </c>
      <c r="C674" s="106" t="s">
        <v>26</v>
      </c>
      <c r="D674" s="106" t="s">
        <v>65</v>
      </c>
      <c r="E674" s="106" t="s">
        <v>230</v>
      </c>
      <c r="F674" s="107"/>
      <c r="G674" s="108">
        <f>G675+G676+G677</f>
        <v>40445.2</v>
      </c>
    </row>
    <row r="675" spans="1:7" ht="30">
      <c r="A675" s="75" t="s">
        <v>262</v>
      </c>
      <c r="B675" s="106" t="s">
        <v>29</v>
      </c>
      <c r="C675" s="106" t="s">
        <v>26</v>
      </c>
      <c r="D675" s="106" t="s">
        <v>65</v>
      </c>
      <c r="E675" s="106" t="s">
        <v>230</v>
      </c>
      <c r="F675" s="107" t="s">
        <v>248</v>
      </c>
      <c r="G675" s="108">
        <f>540-240.3</f>
        <v>299.7</v>
      </c>
    </row>
    <row r="676" spans="1:7" ht="30">
      <c r="A676" s="93" t="s">
        <v>8</v>
      </c>
      <c r="B676" s="106" t="s">
        <v>29</v>
      </c>
      <c r="C676" s="106" t="s">
        <v>26</v>
      </c>
      <c r="D676" s="106" t="s">
        <v>65</v>
      </c>
      <c r="E676" s="106" t="s">
        <v>230</v>
      </c>
      <c r="F676" s="107" t="s">
        <v>10</v>
      </c>
      <c r="G676" s="108">
        <f>1111.7+2.8</f>
        <v>1114.5</v>
      </c>
    </row>
    <row r="677" spans="1:7" ht="30">
      <c r="A677" s="75" t="s">
        <v>13</v>
      </c>
      <c r="B677" s="106" t="s">
        <v>29</v>
      </c>
      <c r="C677" s="106" t="s">
        <v>26</v>
      </c>
      <c r="D677" s="106" t="s">
        <v>65</v>
      </c>
      <c r="E677" s="106" t="s">
        <v>230</v>
      </c>
      <c r="F677" s="107" t="s">
        <v>12</v>
      </c>
      <c r="G677" s="108">
        <f>24490.1+9345+5079.8-75.2+191.3</f>
        <v>39031</v>
      </c>
    </row>
    <row r="678" spans="1:7" ht="45">
      <c r="A678" s="75" t="s">
        <v>465</v>
      </c>
      <c r="B678" s="106" t="s">
        <v>29</v>
      </c>
      <c r="C678" s="106" t="s">
        <v>26</v>
      </c>
      <c r="D678" s="106" t="s">
        <v>65</v>
      </c>
      <c r="E678" s="106" t="s">
        <v>466</v>
      </c>
      <c r="F678" s="107"/>
      <c r="G678" s="108">
        <f>G680+G681+G679</f>
        <v>1427.8</v>
      </c>
    </row>
    <row r="679" spans="1:7" ht="30">
      <c r="A679" s="75" t="s">
        <v>262</v>
      </c>
      <c r="B679" s="106" t="s">
        <v>29</v>
      </c>
      <c r="C679" s="106" t="s">
        <v>26</v>
      </c>
      <c r="D679" s="106" t="s">
        <v>65</v>
      </c>
      <c r="E679" s="106" t="s">
        <v>466</v>
      </c>
      <c r="F679" s="107" t="s">
        <v>248</v>
      </c>
      <c r="G679" s="108">
        <v>14.1</v>
      </c>
    </row>
    <row r="680" spans="1:7" ht="30">
      <c r="A680" s="93" t="s">
        <v>8</v>
      </c>
      <c r="B680" s="106" t="s">
        <v>29</v>
      </c>
      <c r="C680" s="106" t="s">
        <v>26</v>
      </c>
      <c r="D680" s="106" t="s">
        <v>65</v>
      </c>
      <c r="E680" s="106" t="s">
        <v>466</v>
      </c>
      <c r="F680" s="107" t="s">
        <v>10</v>
      </c>
      <c r="G680" s="108">
        <v>61.1</v>
      </c>
    </row>
    <row r="681" spans="1:7" ht="18" customHeight="1">
      <c r="A681" s="75" t="s">
        <v>13</v>
      </c>
      <c r="B681" s="106" t="s">
        <v>29</v>
      </c>
      <c r="C681" s="106" t="s">
        <v>26</v>
      </c>
      <c r="D681" s="106" t="s">
        <v>65</v>
      </c>
      <c r="E681" s="106" t="s">
        <v>466</v>
      </c>
      <c r="F681" s="107" t="s">
        <v>12</v>
      </c>
      <c r="G681" s="108">
        <f>1491.5-138.9</f>
        <v>1352.6</v>
      </c>
    </row>
    <row r="682" spans="1:7" ht="60">
      <c r="A682" s="128" t="s">
        <v>378</v>
      </c>
      <c r="B682" s="106" t="s">
        <v>29</v>
      </c>
      <c r="C682" s="106" t="s">
        <v>26</v>
      </c>
      <c r="D682" s="106" t="s">
        <v>65</v>
      </c>
      <c r="E682" s="111" t="s">
        <v>286</v>
      </c>
      <c r="F682" s="107"/>
      <c r="G682" s="108">
        <f>G683</f>
        <v>100</v>
      </c>
    </row>
    <row r="683" spans="1:7" ht="30">
      <c r="A683" s="75" t="s">
        <v>262</v>
      </c>
      <c r="B683" s="106" t="s">
        <v>29</v>
      </c>
      <c r="C683" s="106" t="s">
        <v>26</v>
      </c>
      <c r="D683" s="106" t="s">
        <v>65</v>
      </c>
      <c r="E683" s="111" t="s">
        <v>286</v>
      </c>
      <c r="F683" s="107" t="s">
        <v>248</v>
      </c>
      <c r="G683" s="108">
        <v>100</v>
      </c>
    </row>
    <row r="684" spans="1:7" ht="30">
      <c r="A684" s="75" t="s">
        <v>213</v>
      </c>
      <c r="B684" s="106" t="s">
        <v>29</v>
      </c>
      <c r="C684" s="106" t="s">
        <v>26</v>
      </c>
      <c r="D684" s="106" t="s">
        <v>39</v>
      </c>
      <c r="E684" s="106"/>
      <c r="F684" s="107"/>
      <c r="G684" s="108">
        <f>G685+G693</f>
        <v>9955.6</v>
      </c>
    </row>
    <row r="685" spans="1:7" ht="31.5" customHeight="1">
      <c r="A685" s="77" t="s">
        <v>252</v>
      </c>
      <c r="B685" s="106" t="s">
        <v>29</v>
      </c>
      <c r="C685" s="106" t="s">
        <v>26</v>
      </c>
      <c r="D685" s="106" t="s">
        <v>39</v>
      </c>
      <c r="E685" s="106" t="s">
        <v>119</v>
      </c>
      <c r="F685" s="107"/>
      <c r="G685" s="108">
        <f>G686</f>
        <v>4054.7</v>
      </c>
    </row>
    <row r="686" spans="1:7" ht="15">
      <c r="A686" s="77" t="s">
        <v>36</v>
      </c>
      <c r="B686" s="106" t="s">
        <v>29</v>
      </c>
      <c r="C686" s="106" t="s">
        <v>26</v>
      </c>
      <c r="D686" s="106" t="s">
        <v>39</v>
      </c>
      <c r="E686" s="106" t="s">
        <v>120</v>
      </c>
      <c r="F686" s="107"/>
      <c r="G686" s="108">
        <f>G687+G688+G689+G690+G691+G692</f>
        <v>4054.7</v>
      </c>
    </row>
    <row r="687" spans="1:7" ht="15">
      <c r="A687" s="86" t="s">
        <v>242</v>
      </c>
      <c r="B687" s="106" t="s">
        <v>29</v>
      </c>
      <c r="C687" s="106" t="s">
        <v>26</v>
      </c>
      <c r="D687" s="106" t="s">
        <v>39</v>
      </c>
      <c r="E687" s="106" t="s">
        <v>120</v>
      </c>
      <c r="F687" s="109" t="s">
        <v>295</v>
      </c>
      <c r="G687" s="108">
        <f>2701+208.6+282</f>
        <v>3191.6</v>
      </c>
    </row>
    <row r="688" spans="1:7" ht="30">
      <c r="A688" s="86" t="s">
        <v>243</v>
      </c>
      <c r="B688" s="106" t="s">
        <v>29</v>
      </c>
      <c r="C688" s="106" t="s">
        <v>26</v>
      </c>
      <c r="D688" s="106" t="s">
        <v>39</v>
      </c>
      <c r="E688" s="106" t="s">
        <v>120</v>
      </c>
      <c r="F688" s="109" t="s">
        <v>304</v>
      </c>
      <c r="G688" s="108">
        <f>3+3.9+7</f>
        <v>13.9</v>
      </c>
    </row>
    <row r="689" spans="1:7" ht="30">
      <c r="A689" s="86" t="s">
        <v>244</v>
      </c>
      <c r="B689" s="106" t="s">
        <v>29</v>
      </c>
      <c r="C689" s="106" t="s">
        <v>26</v>
      </c>
      <c r="D689" s="106" t="s">
        <v>39</v>
      </c>
      <c r="E689" s="106" t="s">
        <v>120</v>
      </c>
      <c r="F689" s="109" t="s">
        <v>247</v>
      </c>
      <c r="G689" s="108">
        <f>90+1.8-1-15</f>
        <v>75.8</v>
      </c>
    </row>
    <row r="690" spans="1:7" ht="30">
      <c r="A690" s="75" t="s">
        <v>262</v>
      </c>
      <c r="B690" s="106" t="s">
        <v>29</v>
      </c>
      <c r="C690" s="106" t="s">
        <v>26</v>
      </c>
      <c r="D690" s="106" t="s">
        <v>39</v>
      </c>
      <c r="E690" s="106" t="s">
        <v>120</v>
      </c>
      <c r="F690" s="109" t="s">
        <v>248</v>
      </c>
      <c r="G690" s="108">
        <f>884.6+65.7-203.5</f>
        <v>746.8</v>
      </c>
    </row>
    <row r="691" spans="1:7" ht="30">
      <c r="A691" s="86" t="s">
        <v>245</v>
      </c>
      <c r="B691" s="106" t="s">
        <v>29</v>
      </c>
      <c r="C691" s="106" t="s">
        <v>26</v>
      </c>
      <c r="D691" s="106" t="s">
        <v>39</v>
      </c>
      <c r="E691" s="106" t="s">
        <v>120</v>
      </c>
      <c r="F691" s="109" t="s">
        <v>249</v>
      </c>
      <c r="G691" s="108">
        <v>21</v>
      </c>
    </row>
    <row r="692" spans="1:7" ht="30">
      <c r="A692" s="86" t="s">
        <v>246</v>
      </c>
      <c r="B692" s="106" t="s">
        <v>29</v>
      </c>
      <c r="C692" s="106" t="s">
        <v>26</v>
      </c>
      <c r="D692" s="106" t="s">
        <v>39</v>
      </c>
      <c r="E692" s="106" t="s">
        <v>120</v>
      </c>
      <c r="F692" s="109" t="s">
        <v>250</v>
      </c>
      <c r="G692" s="108">
        <f>4+0.5+1.1</f>
        <v>5.6</v>
      </c>
    </row>
    <row r="693" spans="1:7" ht="86.25" customHeight="1">
      <c r="A693" s="75" t="s">
        <v>96</v>
      </c>
      <c r="B693" s="106" t="s">
        <v>29</v>
      </c>
      <c r="C693" s="106" t="s">
        <v>26</v>
      </c>
      <c r="D693" s="106" t="s">
        <v>39</v>
      </c>
      <c r="E693" s="106" t="s">
        <v>130</v>
      </c>
      <c r="F693" s="107"/>
      <c r="G693" s="108">
        <f>G694</f>
        <v>5900.9</v>
      </c>
    </row>
    <row r="694" spans="1:7" ht="30">
      <c r="A694" s="75" t="s">
        <v>275</v>
      </c>
      <c r="B694" s="106" t="s">
        <v>29</v>
      </c>
      <c r="C694" s="106" t="s">
        <v>26</v>
      </c>
      <c r="D694" s="106" t="s">
        <v>39</v>
      </c>
      <c r="E694" s="106" t="s">
        <v>130</v>
      </c>
      <c r="F694" s="107"/>
      <c r="G694" s="108">
        <f>G695+G696+G697+G698++G699</f>
        <v>5900.9</v>
      </c>
    </row>
    <row r="695" spans="1:7" ht="15">
      <c r="A695" s="86" t="s">
        <v>242</v>
      </c>
      <c r="B695" s="106" t="s">
        <v>29</v>
      </c>
      <c r="C695" s="106" t="s">
        <v>26</v>
      </c>
      <c r="D695" s="106" t="s">
        <v>39</v>
      </c>
      <c r="E695" s="106" t="s">
        <v>130</v>
      </c>
      <c r="F695" s="109" t="s">
        <v>258</v>
      </c>
      <c r="G695" s="108">
        <v>4654</v>
      </c>
    </row>
    <row r="696" spans="1:7" ht="30">
      <c r="A696" s="86" t="s">
        <v>243</v>
      </c>
      <c r="B696" s="106" t="s">
        <v>29</v>
      </c>
      <c r="C696" s="106" t="s">
        <v>26</v>
      </c>
      <c r="D696" s="106" t="s">
        <v>39</v>
      </c>
      <c r="E696" s="106" t="s">
        <v>130</v>
      </c>
      <c r="F696" s="109" t="s">
        <v>264</v>
      </c>
      <c r="G696" s="108">
        <v>3</v>
      </c>
    </row>
    <row r="697" spans="1:7" ht="30">
      <c r="A697" s="86" t="s">
        <v>244</v>
      </c>
      <c r="B697" s="106" t="s">
        <v>29</v>
      </c>
      <c r="C697" s="106" t="s">
        <v>26</v>
      </c>
      <c r="D697" s="106" t="s">
        <v>39</v>
      </c>
      <c r="E697" s="106" t="s">
        <v>130</v>
      </c>
      <c r="F697" s="109" t="s">
        <v>247</v>
      </c>
      <c r="G697" s="108">
        <f>282.7+56.5+12.5</f>
        <v>351.7</v>
      </c>
    </row>
    <row r="698" spans="1:7" ht="30">
      <c r="A698" s="75" t="s">
        <v>262</v>
      </c>
      <c r="B698" s="106" t="s">
        <v>29</v>
      </c>
      <c r="C698" s="106" t="s">
        <v>26</v>
      </c>
      <c r="D698" s="106" t="s">
        <v>39</v>
      </c>
      <c r="E698" s="106" t="s">
        <v>130</v>
      </c>
      <c r="F698" s="109" t="s">
        <v>248</v>
      </c>
      <c r="G698" s="108">
        <f>655.3+255.1-26.1</f>
        <v>884.3</v>
      </c>
    </row>
    <row r="699" spans="1:7" ht="30">
      <c r="A699" s="86" t="s">
        <v>246</v>
      </c>
      <c r="B699" s="106" t="s">
        <v>29</v>
      </c>
      <c r="C699" s="106" t="s">
        <v>26</v>
      </c>
      <c r="D699" s="106" t="s">
        <v>39</v>
      </c>
      <c r="E699" s="106" t="s">
        <v>130</v>
      </c>
      <c r="F699" s="109" t="s">
        <v>250</v>
      </c>
      <c r="G699" s="108">
        <f>7+0.9</f>
        <v>7.9</v>
      </c>
    </row>
    <row r="700" spans="1:7" ht="15">
      <c r="A700" s="75" t="s">
        <v>117</v>
      </c>
      <c r="B700" s="106" t="s">
        <v>29</v>
      </c>
      <c r="C700" s="106" t="s">
        <v>202</v>
      </c>
      <c r="D700" s="106"/>
      <c r="E700" s="106"/>
      <c r="F700" s="107"/>
      <c r="G700" s="108">
        <f>G702</f>
        <v>3294.2</v>
      </c>
    </row>
    <row r="701" spans="1:7" ht="15">
      <c r="A701" s="75" t="s">
        <v>347</v>
      </c>
      <c r="B701" s="106" t="s">
        <v>29</v>
      </c>
      <c r="C701" s="106" t="s">
        <v>202</v>
      </c>
      <c r="D701" s="106" t="s">
        <v>212</v>
      </c>
      <c r="E701" s="106"/>
      <c r="F701" s="107"/>
      <c r="G701" s="108">
        <f>G702</f>
        <v>3294.2</v>
      </c>
    </row>
    <row r="702" spans="1:7" ht="20.25" customHeight="1">
      <c r="A702" s="75" t="s">
        <v>100</v>
      </c>
      <c r="B702" s="106" t="s">
        <v>29</v>
      </c>
      <c r="C702" s="106" t="s">
        <v>202</v>
      </c>
      <c r="D702" s="106" t="s">
        <v>212</v>
      </c>
      <c r="E702" s="106" t="s">
        <v>101</v>
      </c>
      <c r="F702" s="107"/>
      <c r="G702" s="108">
        <f>G703</f>
        <v>3294.2</v>
      </c>
    </row>
    <row r="703" spans="1:7" ht="45">
      <c r="A703" s="75" t="s">
        <v>387</v>
      </c>
      <c r="B703" s="106" t="s">
        <v>29</v>
      </c>
      <c r="C703" s="106" t="s">
        <v>202</v>
      </c>
      <c r="D703" s="106" t="s">
        <v>212</v>
      </c>
      <c r="E703" s="106" t="s">
        <v>280</v>
      </c>
      <c r="F703" s="107"/>
      <c r="G703" s="108">
        <f>G705</f>
        <v>3294.2</v>
      </c>
    </row>
    <row r="704" spans="1:7" ht="45">
      <c r="A704" s="75" t="s">
        <v>388</v>
      </c>
      <c r="B704" s="106" t="s">
        <v>29</v>
      </c>
      <c r="C704" s="106" t="s">
        <v>202</v>
      </c>
      <c r="D704" s="106" t="s">
        <v>212</v>
      </c>
      <c r="E704" s="106" t="s">
        <v>330</v>
      </c>
      <c r="F704" s="107"/>
      <c r="G704" s="108">
        <f>G705</f>
        <v>3294.2</v>
      </c>
    </row>
    <row r="705" spans="1:7" ht="14.25" customHeight="1">
      <c r="A705" s="133" t="s">
        <v>13</v>
      </c>
      <c r="B705" s="106" t="s">
        <v>29</v>
      </c>
      <c r="C705" s="106" t="s">
        <v>202</v>
      </c>
      <c r="D705" s="106" t="s">
        <v>212</v>
      </c>
      <c r="E705" s="106" t="s">
        <v>330</v>
      </c>
      <c r="F705" s="107" t="s">
        <v>12</v>
      </c>
      <c r="G705" s="108">
        <f>3219+75.2</f>
        <v>3294.2</v>
      </c>
    </row>
    <row r="706" spans="1:7" ht="15.75" customHeight="1">
      <c r="A706" s="20" t="s">
        <v>547</v>
      </c>
      <c r="B706" s="3"/>
      <c r="C706" s="3"/>
      <c r="D706" s="14"/>
      <c r="E706" s="14"/>
      <c r="F706" s="85"/>
      <c r="G706" s="145">
        <f>G12+G25+G182+G200+G230+G243+G358+G375+G424+G449+G642</f>
        <v>2680334</v>
      </c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3937007874015748" header="0.31496062992125984" footer="0.31496062992125984"/>
  <pageSetup fitToHeight="0" horizontalDpi="600" verticalDpi="600" orientation="portrait" paperSize="9" scale="75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7.00390625" style="0" customWidth="1"/>
    <col min="2" max="2" width="86.125" style="0" customWidth="1"/>
    <col min="3" max="3" width="15.25390625" style="295" customWidth="1"/>
  </cols>
  <sheetData>
    <row r="1" spans="1:3" ht="16.5">
      <c r="A1" s="341"/>
      <c r="B1" s="340" t="s">
        <v>844</v>
      </c>
      <c r="C1" s="340"/>
    </row>
    <row r="2" spans="1:3" ht="47.25" customHeight="1">
      <c r="A2" s="295"/>
      <c r="B2" s="339" t="s">
        <v>155</v>
      </c>
      <c r="C2" s="339"/>
    </row>
    <row r="3" spans="1:3" ht="15.75" customHeight="1">
      <c r="A3" s="295"/>
      <c r="B3" s="339" t="s">
        <v>579</v>
      </c>
      <c r="C3" s="339"/>
    </row>
    <row r="4" spans="1:3" ht="14.25" customHeight="1">
      <c r="A4" s="336" t="s">
        <v>843</v>
      </c>
      <c r="B4" s="336"/>
      <c r="C4" s="336"/>
    </row>
    <row r="5" spans="1:3" ht="15.75">
      <c r="A5" s="338"/>
      <c r="B5" s="335" t="s">
        <v>842</v>
      </c>
      <c r="C5" s="337"/>
    </row>
    <row r="6" spans="1:3" ht="15.75">
      <c r="A6" s="336" t="s">
        <v>841</v>
      </c>
      <c r="B6" s="336"/>
      <c r="C6" s="336"/>
    </row>
    <row r="7" spans="1:3" ht="15.75">
      <c r="A7" s="335"/>
      <c r="B7" s="335"/>
      <c r="C7" s="334" t="s">
        <v>84</v>
      </c>
    </row>
    <row r="8" spans="1:3" ht="30" customHeight="1">
      <c r="A8" s="333" t="s">
        <v>840</v>
      </c>
      <c r="B8" s="333" t="s">
        <v>839</v>
      </c>
      <c r="C8" s="333" t="s">
        <v>838</v>
      </c>
    </row>
    <row r="9" spans="1:3" ht="17.25" customHeight="1">
      <c r="A9" s="301"/>
      <c r="B9" s="332" t="s">
        <v>837</v>
      </c>
      <c r="C9" s="331"/>
    </row>
    <row r="10" spans="1:3" ht="31.5" customHeight="1">
      <c r="A10" s="304" t="s">
        <v>836</v>
      </c>
      <c r="B10" s="311" t="s">
        <v>835</v>
      </c>
      <c r="C10" s="302">
        <v>500</v>
      </c>
    </row>
    <row r="11" spans="1:3" ht="30" customHeight="1">
      <c r="A11" s="304" t="s">
        <v>834</v>
      </c>
      <c r="B11" s="303" t="s">
        <v>518</v>
      </c>
      <c r="C11" s="302">
        <v>250</v>
      </c>
    </row>
    <row r="12" spans="1:3" ht="29.25" customHeight="1">
      <c r="A12" s="304" t="s">
        <v>833</v>
      </c>
      <c r="B12" s="310" t="s">
        <v>179</v>
      </c>
      <c r="C12" s="302">
        <v>50</v>
      </c>
    </row>
    <row r="13" spans="1:3" ht="16.5" customHeight="1">
      <c r="A13" s="304" t="s">
        <v>832</v>
      </c>
      <c r="B13" s="303" t="s">
        <v>376</v>
      </c>
      <c r="C13" s="302">
        <f>20431.7+500+6751</f>
        <v>27682.7</v>
      </c>
    </row>
    <row r="14" spans="1:3" ht="33" customHeight="1">
      <c r="A14" s="304" t="s">
        <v>831</v>
      </c>
      <c r="B14" s="310" t="s">
        <v>283</v>
      </c>
      <c r="C14" s="302">
        <v>202</v>
      </c>
    </row>
    <row r="15" spans="1:3" ht="33.75" customHeight="1">
      <c r="A15" s="304" t="s">
        <v>830</v>
      </c>
      <c r="B15" s="330" t="s">
        <v>377</v>
      </c>
      <c r="C15" s="302">
        <v>540</v>
      </c>
    </row>
    <row r="16" spans="1:3" ht="32.25" customHeight="1">
      <c r="A16" s="304" t="s">
        <v>829</v>
      </c>
      <c r="B16" s="310" t="s">
        <v>387</v>
      </c>
      <c r="C16" s="302">
        <f>C18</f>
        <v>204</v>
      </c>
    </row>
    <row r="17" spans="1:3" ht="12.75" customHeight="1">
      <c r="A17" s="304"/>
      <c r="B17" s="329" t="s">
        <v>785</v>
      </c>
      <c r="C17" s="302"/>
    </row>
    <row r="18" spans="1:3" ht="30.75" customHeight="1">
      <c r="A18" s="304"/>
      <c r="B18" s="310" t="s">
        <v>388</v>
      </c>
      <c r="C18" s="302">
        <v>204</v>
      </c>
    </row>
    <row r="19" spans="1:3" ht="18.75" customHeight="1">
      <c r="A19" s="304" t="s">
        <v>828</v>
      </c>
      <c r="B19" s="316" t="s">
        <v>800</v>
      </c>
      <c r="C19" s="302">
        <f>C21</f>
        <v>860.2</v>
      </c>
    </row>
    <row r="20" spans="1:3" ht="12.75" customHeight="1">
      <c r="A20" s="304"/>
      <c r="B20" s="329" t="s">
        <v>785</v>
      </c>
      <c r="C20" s="302"/>
    </row>
    <row r="21" spans="1:3" ht="20.25" customHeight="1">
      <c r="A21" s="304"/>
      <c r="B21" s="314" t="s">
        <v>403</v>
      </c>
      <c r="C21" s="302">
        <f>576+284.2</f>
        <v>860.2</v>
      </c>
    </row>
    <row r="22" spans="1:3" ht="20.25" customHeight="1">
      <c r="A22" s="304" t="s">
        <v>827</v>
      </c>
      <c r="B22" s="307" t="s">
        <v>789</v>
      </c>
      <c r="C22" s="302">
        <v>350</v>
      </c>
    </row>
    <row r="23" spans="1:3" ht="20.25" customHeight="1">
      <c r="A23" s="304"/>
      <c r="B23" s="314"/>
      <c r="C23" s="302"/>
    </row>
    <row r="24" spans="1:3" ht="15.75">
      <c r="A24" s="301"/>
      <c r="B24" s="300" t="s">
        <v>826</v>
      </c>
      <c r="C24" s="299">
        <f>C10+C11+C12+C13+C14+C15+C16+C19+C22</f>
        <v>30638.9</v>
      </c>
    </row>
    <row r="25" spans="1:3" ht="31.5">
      <c r="A25" s="313"/>
      <c r="B25" s="328" t="s">
        <v>825</v>
      </c>
      <c r="C25" s="299"/>
    </row>
    <row r="26" spans="1:3" ht="15">
      <c r="A26" s="304" t="s">
        <v>824</v>
      </c>
      <c r="B26" s="306" t="s">
        <v>296</v>
      </c>
      <c r="C26" s="322">
        <v>1000</v>
      </c>
    </row>
    <row r="27" spans="1:3" ht="15.75">
      <c r="A27" s="313"/>
      <c r="B27" s="300" t="s">
        <v>823</v>
      </c>
      <c r="C27" s="299">
        <f>C26</f>
        <v>1000</v>
      </c>
    </row>
    <row r="28" spans="1:3" ht="31.5">
      <c r="A28" s="301"/>
      <c r="B28" s="321" t="s">
        <v>822</v>
      </c>
      <c r="C28" s="299"/>
    </row>
    <row r="29" spans="1:3" ht="18" customHeight="1">
      <c r="A29" s="304" t="s">
        <v>821</v>
      </c>
      <c r="B29" s="327" t="s">
        <v>820</v>
      </c>
      <c r="C29" s="322">
        <v>9637.8</v>
      </c>
    </row>
    <row r="30" spans="1:3" ht="30">
      <c r="A30" s="304" t="s">
        <v>819</v>
      </c>
      <c r="B30" s="310" t="s">
        <v>818</v>
      </c>
      <c r="C30" s="322">
        <v>19361</v>
      </c>
    </row>
    <row r="31" spans="1:3" ht="30">
      <c r="A31" s="304" t="s">
        <v>817</v>
      </c>
      <c r="B31" s="327" t="s">
        <v>382</v>
      </c>
      <c r="C31" s="302">
        <v>189.9</v>
      </c>
    </row>
    <row r="32" spans="1:3" ht="15">
      <c r="A32" s="304" t="s">
        <v>816</v>
      </c>
      <c r="B32" s="306" t="s">
        <v>815</v>
      </c>
      <c r="C32" s="302">
        <v>1409.3</v>
      </c>
    </row>
    <row r="33" spans="1:3" ht="28.5" customHeight="1">
      <c r="A33" s="304" t="s">
        <v>814</v>
      </c>
      <c r="B33" s="326" t="s">
        <v>797</v>
      </c>
      <c r="C33" s="302">
        <v>2610</v>
      </c>
    </row>
    <row r="34" spans="1:3" ht="30" customHeight="1">
      <c r="A34" s="304" t="s">
        <v>813</v>
      </c>
      <c r="B34" s="326" t="s">
        <v>375</v>
      </c>
      <c r="C34" s="302">
        <v>479.5</v>
      </c>
    </row>
    <row r="35" spans="1:3" ht="17.25" customHeight="1">
      <c r="A35" s="301"/>
      <c r="B35" s="300" t="s">
        <v>812</v>
      </c>
      <c r="C35" s="299">
        <f>SUM(C29:C34)</f>
        <v>33687.5</v>
      </c>
    </row>
    <row r="36" spans="1:3" ht="31.5">
      <c r="A36" s="298"/>
      <c r="B36" s="325" t="s">
        <v>811</v>
      </c>
      <c r="C36" s="299"/>
    </row>
    <row r="37" spans="1:3" ht="34.5" customHeight="1">
      <c r="A37" s="323" t="s">
        <v>810</v>
      </c>
      <c r="B37" s="303" t="s">
        <v>786</v>
      </c>
      <c r="C37" s="322">
        <f>C39+C40</f>
        <v>25366.4</v>
      </c>
    </row>
    <row r="38" spans="1:3" ht="11.25" customHeight="1">
      <c r="A38" s="323"/>
      <c r="B38" s="324" t="s">
        <v>785</v>
      </c>
      <c r="C38" s="322"/>
    </row>
    <row r="39" spans="1:3" ht="30.75" customHeight="1">
      <c r="A39" s="323"/>
      <c r="B39" s="303" t="s">
        <v>388</v>
      </c>
      <c r="C39" s="322">
        <f>24171.3+695.1</f>
        <v>24866.4</v>
      </c>
    </row>
    <row r="40" spans="1:3" ht="30.75" customHeight="1">
      <c r="A40" s="323"/>
      <c r="B40" s="306" t="s">
        <v>389</v>
      </c>
      <c r="C40" s="322">
        <v>500</v>
      </c>
    </row>
    <row r="41" spans="1:3" ht="30.75" customHeight="1">
      <c r="A41" s="323" t="s">
        <v>809</v>
      </c>
      <c r="B41" s="303" t="s">
        <v>808</v>
      </c>
      <c r="C41" s="322">
        <v>50</v>
      </c>
    </row>
    <row r="42" spans="1:3" ht="16.5">
      <c r="A42" s="298"/>
      <c r="B42" s="300" t="s">
        <v>807</v>
      </c>
      <c r="C42" s="299">
        <f>C37+C41</f>
        <v>25416.4</v>
      </c>
    </row>
    <row r="43" spans="1:3" ht="31.5">
      <c r="A43" s="301"/>
      <c r="B43" s="321" t="s">
        <v>806</v>
      </c>
      <c r="C43" s="320"/>
    </row>
    <row r="44" spans="1:3" ht="36" customHeight="1">
      <c r="A44" s="304" t="s">
        <v>805</v>
      </c>
      <c r="B44" s="319" t="s">
        <v>804</v>
      </c>
      <c r="C44" s="302">
        <v>100</v>
      </c>
    </row>
    <row r="45" spans="1:3" ht="18" customHeight="1">
      <c r="A45" s="298"/>
      <c r="B45" s="300" t="s">
        <v>803</v>
      </c>
      <c r="C45" s="299">
        <f>C44</f>
        <v>100</v>
      </c>
    </row>
    <row r="46" spans="1:3" ht="43.5" customHeight="1">
      <c r="A46" s="301"/>
      <c r="B46" s="318" t="s">
        <v>802</v>
      </c>
      <c r="C46" s="317"/>
    </row>
    <row r="47" spans="1:3" ht="15">
      <c r="A47" s="304" t="s">
        <v>801</v>
      </c>
      <c r="B47" s="316" t="s">
        <v>800</v>
      </c>
      <c r="C47" s="302">
        <f>SUM(C49:C59)</f>
        <v>29824</v>
      </c>
    </row>
    <row r="48" spans="1:3" ht="15">
      <c r="A48" s="313"/>
      <c r="B48" s="316" t="s">
        <v>799</v>
      </c>
      <c r="C48" s="302"/>
    </row>
    <row r="49" spans="1:3" ht="15">
      <c r="A49" s="313"/>
      <c r="B49" s="306" t="s">
        <v>393</v>
      </c>
      <c r="C49" s="302">
        <f>187+14</f>
        <v>201</v>
      </c>
    </row>
    <row r="50" spans="1:3" ht="15">
      <c r="A50" s="313"/>
      <c r="B50" s="315" t="s">
        <v>394</v>
      </c>
      <c r="C50" s="302">
        <v>5565.5</v>
      </c>
    </row>
    <row r="51" spans="1:3" ht="15">
      <c r="A51" s="313"/>
      <c r="B51" s="315" t="s">
        <v>395</v>
      </c>
      <c r="C51" s="302">
        <f>225+58.2</f>
        <v>283.2</v>
      </c>
    </row>
    <row r="52" spans="1:3" ht="15">
      <c r="A52" s="313"/>
      <c r="B52" s="315" t="s">
        <v>396</v>
      </c>
      <c r="C52" s="302">
        <v>450</v>
      </c>
    </row>
    <row r="53" spans="1:3" ht="15">
      <c r="A53" s="313"/>
      <c r="B53" s="315" t="s">
        <v>397</v>
      </c>
      <c r="C53" s="302">
        <v>209</v>
      </c>
    </row>
    <row r="54" spans="1:3" ht="17.25" customHeight="1">
      <c r="A54" s="313"/>
      <c r="B54" s="315" t="s">
        <v>398</v>
      </c>
      <c r="C54" s="302">
        <v>1953</v>
      </c>
    </row>
    <row r="55" spans="1:3" ht="15">
      <c r="A55" s="313"/>
      <c r="B55" s="315" t="s">
        <v>400</v>
      </c>
      <c r="C55" s="302">
        <f>4.5+242.4</f>
        <v>246.9</v>
      </c>
    </row>
    <row r="56" spans="1:3" ht="15">
      <c r="A56" s="313"/>
      <c r="B56" s="315" t="s">
        <v>401</v>
      </c>
      <c r="C56" s="302">
        <f>2242.7+65</f>
        <v>2307.7</v>
      </c>
    </row>
    <row r="57" spans="1:3" ht="15">
      <c r="A57" s="313"/>
      <c r="B57" s="312" t="s">
        <v>402</v>
      </c>
      <c r="C57" s="302">
        <v>2978.8</v>
      </c>
    </row>
    <row r="58" spans="1:3" ht="15">
      <c r="A58" s="313"/>
      <c r="B58" s="314" t="s">
        <v>403</v>
      </c>
      <c r="C58" s="302">
        <f>4592.6+5755.2-14</f>
        <v>10333.8</v>
      </c>
    </row>
    <row r="59" spans="1:3" ht="30">
      <c r="A59" s="313"/>
      <c r="B59" s="312" t="s">
        <v>509</v>
      </c>
      <c r="C59" s="302">
        <f>5129+166.1</f>
        <v>5295.1</v>
      </c>
    </row>
    <row r="60" spans="1:3" ht="33.75" customHeight="1">
      <c r="A60" s="304" t="s">
        <v>798</v>
      </c>
      <c r="B60" s="311" t="s">
        <v>797</v>
      </c>
      <c r="C60" s="302">
        <v>169.4</v>
      </c>
    </row>
    <row r="61" spans="1:3" ht="30">
      <c r="A61" s="304" t="s">
        <v>796</v>
      </c>
      <c r="B61" s="303" t="s">
        <v>786</v>
      </c>
      <c r="C61" s="302">
        <f>C63</f>
        <v>4224.7</v>
      </c>
    </row>
    <row r="62" spans="1:3" ht="17.25" customHeight="1">
      <c r="A62" s="304"/>
      <c r="B62" s="305" t="s">
        <v>785</v>
      </c>
      <c r="C62" s="302"/>
    </row>
    <row r="63" spans="1:3" ht="32.25" customHeight="1">
      <c r="A63" s="304"/>
      <c r="B63" s="306" t="s">
        <v>389</v>
      </c>
      <c r="C63" s="302">
        <f>4724.7-500</f>
        <v>4224.7</v>
      </c>
    </row>
    <row r="64" spans="1:3" ht="33" customHeight="1">
      <c r="A64" s="304" t="s">
        <v>795</v>
      </c>
      <c r="B64" s="306" t="s">
        <v>368</v>
      </c>
      <c r="C64" s="302">
        <v>100</v>
      </c>
    </row>
    <row r="65" spans="1:3" ht="33" customHeight="1">
      <c r="A65" s="304" t="s">
        <v>794</v>
      </c>
      <c r="B65" s="310" t="s">
        <v>793</v>
      </c>
      <c r="C65" s="302">
        <v>30</v>
      </c>
    </row>
    <row r="66" spans="1:3" ht="20.25" customHeight="1">
      <c r="A66" s="301"/>
      <c r="B66" s="300" t="s">
        <v>792</v>
      </c>
      <c r="C66" s="299">
        <f>C47+C60+C61+C64+C65</f>
        <v>34348.1</v>
      </c>
    </row>
    <row r="67" spans="1:3" ht="31.5">
      <c r="A67" s="301"/>
      <c r="B67" s="309" t="s">
        <v>791</v>
      </c>
      <c r="C67" s="308"/>
    </row>
    <row r="68" spans="1:3" ht="30" customHeight="1">
      <c r="A68" s="304" t="s">
        <v>790</v>
      </c>
      <c r="B68" s="307" t="s">
        <v>789</v>
      </c>
      <c r="C68" s="302">
        <f>40491.4-462</f>
        <v>40029.4</v>
      </c>
    </row>
    <row r="69" spans="1:3" ht="30" customHeight="1">
      <c r="A69" s="304" t="s">
        <v>788</v>
      </c>
      <c r="B69" s="306" t="s">
        <v>368</v>
      </c>
      <c r="C69" s="302">
        <v>100</v>
      </c>
    </row>
    <row r="70" spans="1:3" ht="30" customHeight="1">
      <c r="A70" s="304" t="s">
        <v>787</v>
      </c>
      <c r="B70" s="303" t="s">
        <v>786</v>
      </c>
      <c r="C70" s="302">
        <f>C72</f>
        <v>3294.2</v>
      </c>
    </row>
    <row r="71" spans="1:3" ht="15" customHeight="1">
      <c r="A71" s="304"/>
      <c r="B71" s="305" t="s">
        <v>785</v>
      </c>
      <c r="C71" s="302"/>
    </row>
    <row r="72" spans="1:3" ht="30" customHeight="1">
      <c r="A72" s="304"/>
      <c r="B72" s="303" t="s">
        <v>388</v>
      </c>
      <c r="C72" s="302">
        <v>3294.2</v>
      </c>
    </row>
    <row r="73" spans="1:3" ht="15.75">
      <c r="A73" s="301"/>
      <c r="B73" s="300" t="s">
        <v>784</v>
      </c>
      <c r="C73" s="299">
        <f>C68+C69+C70</f>
        <v>43423.6</v>
      </c>
    </row>
    <row r="74" spans="1:3" ht="16.5">
      <c r="A74" s="298"/>
      <c r="B74" s="297" t="s">
        <v>783</v>
      </c>
      <c r="C74" s="296">
        <f>C24+C27+C35+C42+C45+C66+C73</f>
        <v>168614.5</v>
      </c>
    </row>
  </sheetData>
  <sheetProtection/>
  <mergeCells count="5">
    <mergeCell ref="B1:C1"/>
    <mergeCell ref="B2:C2"/>
    <mergeCell ref="B3:C3"/>
    <mergeCell ref="A4:C4"/>
    <mergeCell ref="A6:C6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5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7.625" style="0" customWidth="1"/>
    <col min="2" max="2" width="34.00390625" style="0" customWidth="1"/>
  </cols>
  <sheetData>
    <row r="1" ht="18" customHeight="1">
      <c r="B1" s="294" t="s">
        <v>782</v>
      </c>
    </row>
    <row r="2" ht="32.25" customHeight="1">
      <c r="B2" s="293" t="s">
        <v>113</v>
      </c>
    </row>
    <row r="3" ht="15">
      <c r="B3" s="292" t="s">
        <v>578</v>
      </c>
    </row>
    <row r="4" ht="12.75">
      <c r="B4" s="1"/>
    </row>
    <row r="6" spans="1:2" ht="15.75" customHeight="1">
      <c r="A6" s="291" t="s">
        <v>781</v>
      </c>
      <c r="B6" s="291"/>
    </row>
    <row r="7" spans="1:2" ht="15.75" customHeight="1">
      <c r="A7" s="291" t="s">
        <v>780</v>
      </c>
      <c r="B7" s="291"/>
    </row>
    <row r="8" spans="1:2" ht="15.75">
      <c r="A8" s="290"/>
      <c r="B8" s="290"/>
    </row>
    <row r="9" spans="1:2" ht="15.75">
      <c r="A9" s="290"/>
      <c r="B9" s="289" t="s">
        <v>84</v>
      </c>
    </row>
    <row r="10" spans="1:2" ht="25.5" customHeight="1">
      <c r="A10" s="288" t="s">
        <v>779</v>
      </c>
      <c r="B10" s="287">
        <f>B13+B16</f>
        <v>71176.8</v>
      </c>
    </row>
    <row r="11" spans="1:2" ht="13.5" customHeight="1">
      <c r="A11" s="286"/>
      <c r="B11" s="285"/>
    </row>
    <row r="12" spans="1:2" ht="18.75" customHeight="1">
      <c r="A12" s="151" t="s">
        <v>778</v>
      </c>
      <c r="B12" s="281"/>
    </row>
    <row r="13" spans="1:2" ht="23.25" customHeight="1">
      <c r="A13" s="283" t="s">
        <v>777</v>
      </c>
      <c r="B13" s="281">
        <f>B14+B15</f>
        <v>81176.8</v>
      </c>
    </row>
    <row r="14" spans="1:2" ht="21.75" customHeight="1">
      <c r="A14" s="282" t="s">
        <v>775</v>
      </c>
      <c r="B14" s="284">
        <v>196176.8</v>
      </c>
    </row>
    <row r="15" spans="1:2" ht="22.5" customHeight="1">
      <c r="A15" s="282" t="s">
        <v>774</v>
      </c>
      <c r="B15" s="281">
        <v>-115000</v>
      </c>
    </row>
    <row r="16" spans="1:2" ht="42.75" customHeight="1">
      <c r="A16" s="283" t="s">
        <v>776</v>
      </c>
      <c r="B16" s="281">
        <f>B17+B18</f>
        <v>-10000</v>
      </c>
    </row>
    <row r="17" spans="1:2" ht="21.75" customHeight="1">
      <c r="A17" s="282" t="s">
        <v>775</v>
      </c>
      <c r="B17" s="281">
        <v>0</v>
      </c>
    </row>
    <row r="18" spans="1:2" ht="21" customHeight="1">
      <c r="A18" s="282" t="s">
        <v>774</v>
      </c>
      <c r="B18" s="281">
        <v>-10000</v>
      </c>
    </row>
    <row r="19" spans="1:2" ht="15.75">
      <c r="A19" s="280"/>
      <c r="B19" s="279"/>
    </row>
    <row r="20" spans="1:2" ht="12.75">
      <c r="A20" s="275"/>
      <c r="B20" s="275"/>
    </row>
    <row r="21" spans="1:2" ht="12.75">
      <c r="A21" s="278"/>
      <c r="B21" s="277"/>
    </row>
    <row r="22" spans="1:2" ht="12.75">
      <c r="A22" s="276"/>
      <c r="B22" s="276"/>
    </row>
    <row r="23" spans="1:2" ht="12.75">
      <c r="A23" s="275"/>
      <c r="B23" s="275"/>
    </row>
    <row r="24" spans="1:2" ht="12.75">
      <c r="A24" s="275"/>
      <c r="B24" s="275"/>
    </row>
    <row r="25" spans="1:2" ht="12.75">
      <c r="A25" s="275"/>
      <c r="B25" s="275"/>
    </row>
    <row r="26" spans="1:2" ht="12.75">
      <c r="A26" s="275"/>
      <c r="B26" s="275"/>
    </row>
    <row r="27" spans="1:2" ht="12.75">
      <c r="A27" s="275"/>
      <c r="B27" s="275"/>
    </row>
    <row r="28" spans="1:2" ht="12.75">
      <c r="A28" s="275"/>
      <c r="B28" s="275"/>
    </row>
    <row r="29" spans="1:2" ht="12.75">
      <c r="A29" s="275"/>
      <c r="B29" s="275"/>
    </row>
    <row r="30" spans="1:2" ht="12.75">
      <c r="A30" s="275"/>
      <c r="B30" s="275"/>
    </row>
    <row r="31" spans="1:2" ht="12.75">
      <c r="A31" s="275"/>
      <c r="B31" s="275"/>
    </row>
    <row r="32" spans="1:2" ht="12.75">
      <c r="A32" s="275"/>
      <c r="B32" s="275"/>
    </row>
    <row r="33" spans="1:2" ht="12.75">
      <c r="A33" s="275"/>
      <c r="B33" s="275"/>
    </row>
    <row r="34" spans="1:2" ht="12.75">
      <c r="A34" s="275"/>
      <c r="B34" s="275"/>
    </row>
    <row r="35" spans="1:2" ht="12.75">
      <c r="A35" s="275"/>
      <c r="B35" s="275"/>
    </row>
  </sheetData>
  <sheetProtection/>
  <mergeCells count="6">
    <mergeCell ref="A6:B6"/>
    <mergeCell ref="A7:B7"/>
    <mergeCell ref="A21:B21"/>
    <mergeCell ref="A22:B22"/>
    <mergeCell ref="A10:A11"/>
    <mergeCell ref="B10:B1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Пользователь</cp:lastModifiedBy>
  <cp:lastPrinted>2013-11-07T03:14:31Z</cp:lastPrinted>
  <dcterms:created xsi:type="dcterms:W3CDTF">2003-12-14T05:28:10Z</dcterms:created>
  <dcterms:modified xsi:type="dcterms:W3CDTF">2013-11-20T23:44:17Z</dcterms:modified>
  <cp:category/>
  <cp:version/>
  <cp:contentType/>
  <cp:contentStatus/>
</cp:coreProperties>
</file>