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120" windowWidth="15120" windowHeight="8010" firstSheet="57" activeTab="64"/>
  </bookViews>
  <sheets>
    <sheet name="1 Вокзальная 7" sheetId="78" r:id="rId1"/>
    <sheet name="Садовая18" sheetId="77" r:id="rId2"/>
    <sheet name="Братская 1" sheetId="76" r:id="rId3"/>
    <sheet name="Батарейная 4" sheetId="75" r:id="rId4"/>
    <sheet name="Катовского 30" sheetId="74" r:id="rId5"/>
    <sheet name="зейский 8 1" sheetId="73" r:id="rId6"/>
    <sheet name="Луценко 8а) (2)" sheetId="72" r:id="rId7"/>
    <sheet name="Луценко 82)" sheetId="71" r:id="rId8"/>
    <sheet name="Луценко 6" sheetId="70" r:id="rId9"/>
    <sheet name="Южная 5" sheetId="69" r:id="rId10"/>
    <sheet name="Ленина 153А" sheetId="68" r:id="rId11"/>
    <sheet name="Благовещенская 106А" sheetId="67" r:id="rId12"/>
    <sheet name="Летний 6" sheetId="66" r:id="rId13"/>
    <sheet name="50комсомола 5 " sheetId="65" r:id="rId14"/>
    <sheet name="Луценко 4" sheetId="64" r:id="rId15"/>
    <sheet name="зеленая 32" sheetId="63" r:id="rId16"/>
    <sheet name="9мая 223" sheetId="62" r:id="rId17"/>
    <sheet name="9мая 175А" sheetId="61" r:id="rId18"/>
    <sheet name="50комсомола 137" sheetId="60" r:id="rId19"/>
    <sheet name="50комсомола 135 " sheetId="59" r:id="rId20"/>
    <sheet name="50комсомола 133" sheetId="58" r:id="rId21"/>
    <sheet name="50комсомола 131" sheetId="56" r:id="rId22"/>
    <sheet name="50комсомола 129" sheetId="55" r:id="rId23"/>
    <sheet name="50комсомола 127" sheetId="54" r:id="rId24"/>
    <sheet name="50комсомола 125В" sheetId="53" r:id="rId25"/>
    <sheet name="50комсомола 125А" sheetId="52" r:id="rId26"/>
    <sheet name="50комсомола 121" sheetId="51" r:id="rId27"/>
    <sheet name="50комсомола 106" sheetId="50" r:id="rId28"/>
    <sheet name="Медицинский 8" sheetId="48" r:id="rId29"/>
    <sheet name="Транспортная 6" sheetId="47" r:id="rId30"/>
    <sheet name="Транспортная 42" sheetId="46" r:id="rId31"/>
    <sheet name="н-шоссе 172" sheetId="45" r:id="rId32"/>
    <sheet name="н-шоссе 170А" sheetId="44" r:id="rId33"/>
    <sheet name="н-шоссе 27" sheetId="43" r:id="rId34"/>
    <sheet name="50комсомола 57" sheetId="42" r:id="rId35"/>
    <sheet name="50комсомола 125)" sheetId="41" r:id="rId36"/>
    <sheet name="Зеленая 24А" sheetId="40" r:id="rId37"/>
    <sheet name="50комсомола 60-2)" sheetId="39" r:id="rId38"/>
    <sheet name="Озерная 2" sheetId="37" r:id="rId39"/>
    <sheet name="Весенний 2" sheetId="36" r:id="rId40"/>
    <sheet name="9мая 210а" sheetId="35" r:id="rId41"/>
    <sheet name="50комсомола 125Б" sheetId="33" r:id="rId42"/>
    <sheet name="50комсомола 60" sheetId="32" r:id="rId43"/>
    <sheet name="50комсомола 123" sheetId="31" r:id="rId44"/>
    <sheet name="9мая 225" sheetId="30" r:id="rId45"/>
    <sheet name="весенний 4а)" sheetId="29" r:id="rId46"/>
    <sheet name="9мая 221" sheetId="28" r:id="rId47"/>
    <sheet name="9мая 208" sheetId="27" r:id="rId48"/>
    <sheet name="зейский 11" sheetId="25" r:id="rId49"/>
    <sheet name="зейский 9" sheetId="24" r:id="rId50"/>
    <sheet name="зейский 9-2 " sheetId="23" r:id="rId51"/>
    <sheet name="зейский 9-1" sheetId="22" r:id="rId52"/>
    <sheet name="50 лет Комсомола 123а" sheetId="21" r:id="rId53"/>
    <sheet name="50 лет Комсомола 123д" sheetId="20" r:id="rId54"/>
    <sheet name="50 лет Комсомола 123Г" sheetId="19" r:id="rId55"/>
    <sheet name="50 лет Комсомола 123б" sheetId="18" r:id="rId56"/>
    <sheet name="комсомола 123В" sheetId="17" r:id="rId57"/>
    <sheet name="9мая 219" sheetId="16" r:id="rId58"/>
    <sheet name="9мая 217-2" sheetId="15" r:id="rId59"/>
    <sheet name="зейский 7" sheetId="14" r:id="rId60"/>
    <sheet name="Весенний 3" sheetId="12" r:id="rId61"/>
    <sheet name="9мая 217" sheetId="11" r:id="rId62"/>
    <sheet name="зеленая30 " sheetId="10" r:id="rId63"/>
    <sheet name="зеленая26" sheetId="9" r:id="rId64"/>
    <sheet name="весенний 5" sheetId="7" r:id="rId65"/>
    <sheet name="Весенний 7" sheetId="6" r:id="rId66"/>
    <sheet name="Лист1" sheetId="79" r:id="rId67"/>
  </sheets>
  <definedNames>
    <definedName name="_xlnm.Print_Area" localSheetId="61">'9мая 217'!$A$1:$D$68</definedName>
  </definedNames>
  <calcPr calcId="125725"/>
</workbook>
</file>

<file path=xl/calcChain.xml><?xml version="1.0" encoding="utf-8"?>
<calcChain xmlns="http://schemas.openxmlformats.org/spreadsheetml/2006/main">
  <c r="E8" i="77"/>
  <c r="E15"/>
  <c r="E17"/>
  <c r="E18"/>
  <c r="E19"/>
  <c r="E20"/>
  <c r="E21"/>
  <c r="E29"/>
  <c r="E32"/>
  <c r="E40"/>
  <c r="E47"/>
  <c r="E51"/>
  <c r="E71"/>
  <c r="E74"/>
  <c r="E77"/>
  <c r="E79"/>
  <c r="D80"/>
  <c r="D79"/>
  <c r="D76"/>
  <c r="D66"/>
  <c r="D73"/>
  <c r="D53"/>
  <c r="D49"/>
  <c r="D42"/>
  <c r="D35"/>
  <c r="D31"/>
  <c r="D24"/>
  <c r="D21"/>
  <c r="D20"/>
  <c r="D19"/>
  <c r="D18"/>
  <c r="D17"/>
  <c r="D14"/>
  <c r="C81"/>
  <c r="D80" i="44"/>
  <c r="D62" i="25"/>
  <c r="D76" s="1"/>
  <c r="D75"/>
  <c r="D72"/>
  <c r="D69"/>
  <c r="D49"/>
  <c r="D45"/>
  <c r="D38"/>
  <c r="D31"/>
  <c r="D27"/>
  <c r="D20"/>
  <c r="D17"/>
  <c r="D14"/>
  <c r="E8"/>
  <c r="D62" i="12"/>
  <c r="D76"/>
  <c r="D72"/>
  <c r="D75"/>
  <c r="D69"/>
  <c r="D49"/>
  <c r="D45"/>
  <c r="D38"/>
  <c r="D31"/>
  <c r="D27"/>
  <c r="D20"/>
  <c r="D17"/>
  <c r="D14"/>
  <c r="E8"/>
  <c r="D65" i="71"/>
  <c r="D18"/>
  <c r="D75"/>
  <c r="D78"/>
  <c r="D72"/>
  <c r="D52"/>
  <c r="D48"/>
  <c r="D41"/>
  <c r="D34"/>
  <c r="D30"/>
  <c r="D23"/>
  <c r="D20"/>
  <c r="D19"/>
  <c r="D17"/>
  <c r="D14"/>
  <c r="E9"/>
  <c r="D69" i="61"/>
  <c r="D66"/>
  <c r="D63"/>
  <c r="D56"/>
  <c r="D43"/>
  <c r="D39"/>
  <c r="D32"/>
  <c r="D28"/>
  <c r="D21"/>
  <c r="D18"/>
  <c r="D17"/>
  <c r="D14"/>
  <c r="E8"/>
  <c r="D76" i="35"/>
  <c r="D73"/>
  <c r="D70"/>
  <c r="D63"/>
  <c r="D50"/>
  <c r="D46"/>
  <c r="D39"/>
  <c r="D32"/>
  <c r="D28"/>
  <c r="D21"/>
  <c r="D18"/>
  <c r="D17"/>
  <c r="D14"/>
  <c r="E8"/>
  <c r="D14" i="65"/>
  <c r="D17"/>
  <c r="D18"/>
  <c r="D21"/>
  <c r="D28"/>
  <c r="D32"/>
  <c r="D39"/>
  <c r="D43"/>
  <c r="D56"/>
  <c r="D63"/>
  <c r="D66"/>
  <c r="D69"/>
  <c r="E9"/>
  <c r="D14" i="55"/>
  <c r="D17"/>
  <c r="D19"/>
  <c r="D26"/>
  <c r="D30"/>
  <c r="D37"/>
  <c r="D44"/>
  <c r="D48"/>
  <c r="D61"/>
  <c r="D68"/>
  <c r="D71"/>
  <c r="D74"/>
  <c r="E9"/>
  <c r="D76" i="42"/>
  <c r="D73"/>
  <c r="D70"/>
  <c r="D17"/>
  <c r="D20"/>
  <c r="D27"/>
  <c r="D38"/>
  <c r="D45"/>
  <c r="D49"/>
  <c r="D63"/>
  <c r="D31"/>
  <c r="D14"/>
  <c r="E10"/>
  <c r="D66" i="44"/>
  <c r="D81"/>
  <c r="D23"/>
  <c r="D17"/>
  <c r="D14"/>
  <c r="D79"/>
  <c r="D76"/>
  <c r="D73"/>
  <c r="D52"/>
  <c r="D48"/>
  <c r="D41"/>
  <c r="D34"/>
  <c r="D30"/>
  <c r="D20"/>
  <c r="D19"/>
  <c r="D18"/>
  <c r="E8"/>
  <c r="C81"/>
  <c r="E10"/>
  <c r="D63" i="68"/>
  <c r="D79"/>
  <c r="D13" i="21"/>
  <c r="D61" i="60"/>
  <c r="D76" s="1"/>
  <c r="D81" i="47"/>
  <c r="C81"/>
  <c r="D78" i="78"/>
  <c r="C51"/>
  <c r="D64"/>
  <c r="D19"/>
  <c r="D18"/>
  <c r="D17"/>
  <c r="D13"/>
  <c r="D16"/>
  <c r="D71"/>
  <c r="D79" s="1"/>
  <c r="D51"/>
  <c r="D47"/>
  <c r="D40"/>
  <c r="D33"/>
  <c r="D29"/>
  <c r="D22"/>
  <c r="D65" i="76"/>
  <c r="D75"/>
  <c r="D79"/>
  <c r="D72"/>
  <c r="D52"/>
  <c r="D48"/>
  <c r="D41"/>
  <c r="D34"/>
  <c r="D30"/>
  <c r="D23"/>
  <c r="D20"/>
  <c r="D19"/>
  <c r="D18"/>
  <c r="D17"/>
  <c r="D16"/>
  <c r="D13"/>
  <c r="C80"/>
  <c r="D64" i="75"/>
  <c r="D74"/>
  <c r="D79"/>
  <c r="D22"/>
  <c r="D19"/>
  <c r="D18"/>
  <c r="D17"/>
  <c r="D16"/>
  <c r="C79"/>
  <c r="D13"/>
  <c r="D78"/>
  <c r="D71"/>
  <c r="D51"/>
  <c r="D47"/>
  <c r="D40"/>
  <c r="D33"/>
  <c r="D29"/>
  <c r="D61" i="74"/>
  <c r="D75"/>
  <c r="D76"/>
  <c r="D71"/>
  <c r="D68"/>
  <c r="D48"/>
  <c r="D44"/>
  <c r="D37"/>
  <c r="D30"/>
  <c r="D26"/>
  <c r="D19"/>
  <c r="D13"/>
  <c r="C76"/>
  <c r="D16"/>
  <c r="C76" i="60"/>
  <c r="D75"/>
  <c r="D71"/>
  <c r="D68"/>
  <c r="D48"/>
  <c r="D44"/>
  <c r="D37"/>
  <c r="D30"/>
  <c r="D26"/>
  <c r="D19"/>
  <c r="D17"/>
  <c r="D16"/>
  <c r="D13"/>
  <c r="D60" i="59"/>
  <c r="D47"/>
  <c r="D75"/>
  <c r="D25"/>
  <c r="D29"/>
  <c r="D36"/>
  <c r="D43"/>
  <c r="D68"/>
  <c r="D71"/>
  <c r="D74"/>
  <c r="C75"/>
  <c r="D17"/>
  <c r="D16"/>
  <c r="D13"/>
  <c r="D69" i="58"/>
  <c r="D21"/>
  <c r="D78"/>
  <c r="C78"/>
  <c r="D77"/>
  <c r="D74"/>
  <c r="D71"/>
  <c r="D68"/>
  <c r="D50"/>
  <c r="D46"/>
  <c r="D39"/>
  <c r="D32"/>
  <c r="D28"/>
  <c r="D19"/>
  <c r="D16"/>
  <c r="D17"/>
  <c r="D18"/>
  <c r="D13"/>
  <c r="D61" i="56"/>
  <c r="D75" s="1"/>
  <c r="D17"/>
  <c r="D74"/>
  <c r="D71"/>
  <c r="D68"/>
  <c r="D48"/>
  <c r="D44"/>
  <c r="D37"/>
  <c r="D30"/>
  <c r="D26"/>
  <c r="D19"/>
  <c r="D13"/>
  <c r="D16"/>
  <c r="C75"/>
  <c r="C61" i="55"/>
  <c r="C76"/>
  <c r="D75"/>
  <c r="D19" i="54"/>
  <c r="D26"/>
  <c r="D77"/>
  <c r="C61"/>
  <c r="D61" s="1"/>
  <c r="D70"/>
  <c r="D78" s="1"/>
  <c r="D48"/>
  <c r="D44"/>
  <c r="D37"/>
  <c r="D30"/>
  <c r="D13"/>
  <c r="D16"/>
  <c r="D17"/>
  <c r="D59" i="33"/>
  <c r="D73"/>
  <c r="D66"/>
  <c r="D46"/>
  <c r="D42"/>
  <c r="D35"/>
  <c r="D28"/>
  <c r="D24"/>
  <c r="D17"/>
  <c r="D13"/>
  <c r="C59"/>
  <c r="C73"/>
  <c r="D59" i="20"/>
  <c r="D13"/>
  <c r="D46"/>
  <c r="C73"/>
  <c r="D72" i="19"/>
  <c r="D73" s="1"/>
  <c r="C73"/>
  <c r="D13"/>
  <c r="D46" i="18"/>
  <c r="D69"/>
  <c r="C73"/>
  <c r="D13"/>
  <c r="D48" i="17"/>
  <c r="D75" s="1"/>
  <c r="D13"/>
  <c r="C75"/>
  <c r="D16"/>
  <c r="D79" i="51"/>
  <c r="D64"/>
  <c r="D74"/>
  <c r="D47"/>
  <c r="D13"/>
  <c r="D22"/>
  <c r="D29"/>
  <c r="D33"/>
  <c r="D40"/>
  <c r="D51"/>
  <c r="D71"/>
  <c r="D78"/>
  <c r="D16"/>
  <c r="D17"/>
  <c r="D18"/>
  <c r="D63" i="50"/>
  <c r="D70"/>
  <c r="D13"/>
  <c r="D16"/>
  <c r="D17"/>
  <c r="D18"/>
  <c r="D21"/>
  <c r="D28"/>
  <c r="D32"/>
  <c r="D39"/>
  <c r="D46"/>
  <c r="D50"/>
  <c r="D73"/>
  <c r="D78"/>
  <c r="D77"/>
  <c r="D77" i="42"/>
  <c r="C77"/>
  <c r="D49" i="41"/>
  <c r="D71"/>
  <c r="D78"/>
  <c r="D79"/>
  <c r="D45"/>
  <c r="D13"/>
  <c r="D18"/>
  <c r="D20"/>
  <c r="D27"/>
  <c r="D31"/>
  <c r="D38"/>
  <c r="D63"/>
  <c r="D74"/>
  <c r="C79"/>
  <c r="D69"/>
  <c r="D17"/>
  <c r="D16"/>
  <c r="D69" i="31"/>
  <c r="D77"/>
  <c r="C77"/>
  <c r="D13"/>
  <c r="D17"/>
  <c r="C16"/>
  <c r="D20"/>
  <c r="D27"/>
  <c r="D31"/>
  <c r="D38"/>
  <c r="D45"/>
  <c r="D49"/>
  <c r="D62"/>
  <c r="D72"/>
  <c r="D76"/>
  <c r="D61" i="39"/>
  <c r="D71"/>
  <c r="D76" s="1"/>
  <c r="D75"/>
  <c r="D68"/>
  <c r="D48"/>
  <c r="D44"/>
  <c r="D37"/>
  <c r="D30"/>
  <c r="D26"/>
  <c r="D19"/>
  <c r="D16"/>
  <c r="C76"/>
  <c r="D13"/>
  <c r="D77" i="32"/>
  <c r="D69"/>
  <c r="D72"/>
  <c r="D76"/>
  <c r="D62"/>
  <c r="D49"/>
  <c r="D45"/>
  <c r="D38"/>
  <c r="D31"/>
  <c r="D27"/>
  <c r="D20"/>
  <c r="D13"/>
  <c r="C77"/>
  <c r="D17"/>
  <c r="C76" i="7"/>
  <c r="D76"/>
  <c r="C76" i="12"/>
  <c r="D66" i="52"/>
  <c r="D69"/>
  <c r="D24"/>
  <c r="D73"/>
  <c r="D59"/>
  <c r="D46"/>
  <c r="D42"/>
  <c r="D35"/>
  <c r="D28"/>
  <c r="D17"/>
  <c r="D13"/>
  <c r="D69" i="53"/>
  <c r="D66"/>
  <c r="D59"/>
  <c r="D46"/>
  <c r="D42"/>
  <c r="D35"/>
  <c r="D28"/>
  <c r="D24"/>
  <c r="D17"/>
  <c r="D13"/>
  <c r="D71" i="65"/>
  <c r="D70"/>
  <c r="C71"/>
  <c r="D79" i="36"/>
  <c r="D75"/>
  <c r="C79"/>
  <c r="D53" i="62"/>
  <c r="D18"/>
  <c r="D67"/>
  <c r="D66"/>
  <c r="D63"/>
  <c r="D60"/>
  <c r="D40"/>
  <c r="D36"/>
  <c r="D29"/>
  <c r="D25"/>
  <c r="D13"/>
  <c r="C67"/>
  <c r="C56" i="61"/>
  <c r="C70" s="1"/>
  <c r="C50" i="35"/>
  <c r="C63"/>
  <c r="C77"/>
  <c r="D54" i="30"/>
  <c r="D68"/>
  <c r="C68"/>
  <c r="D67"/>
  <c r="D64"/>
  <c r="D61"/>
  <c r="D41"/>
  <c r="D37"/>
  <c r="D30"/>
  <c r="D26"/>
  <c r="D19"/>
  <c r="D13"/>
  <c r="D16"/>
  <c r="D53" i="9"/>
  <c r="D63"/>
  <c r="C67"/>
  <c r="D52" i="28"/>
  <c r="D62"/>
  <c r="D17"/>
  <c r="D24"/>
  <c r="D28"/>
  <c r="D35"/>
  <c r="D39"/>
  <c r="D59"/>
  <c r="C66"/>
  <c r="D54" i="46"/>
  <c r="D68"/>
  <c r="D67"/>
  <c r="D64"/>
  <c r="C68"/>
  <c r="D65" i="28"/>
  <c r="D13"/>
  <c r="D62" i="27"/>
  <c r="D76"/>
  <c r="D75"/>
  <c r="D72"/>
  <c r="D69"/>
  <c r="D49"/>
  <c r="D45"/>
  <c r="D38"/>
  <c r="D31"/>
  <c r="D27"/>
  <c r="D20"/>
  <c r="D17"/>
  <c r="C16"/>
  <c r="C77" s="1"/>
  <c r="D13"/>
  <c r="D51" i="16"/>
  <c r="D61"/>
  <c r="D17"/>
  <c r="D23"/>
  <c r="D27"/>
  <c r="D34"/>
  <c r="D38"/>
  <c r="D58"/>
  <c r="D64"/>
  <c r="D14"/>
  <c r="D62" i="15"/>
  <c r="D76" s="1"/>
  <c r="D72"/>
  <c r="D75"/>
  <c r="D69"/>
  <c r="D49"/>
  <c r="D45"/>
  <c r="D38"/>
  <c r="D31"/>
  <c r="D27"/>
  <c r="D20"/>
  <c r="D17"/>
  <c r="D16"/>
  <c r="D13"/>
  <c r="D54" i="11"/>
  <c r="D37"/>
  <c r="D68"/>
  <c r="C68"/>
  <c r="D67"/>
  <c r="D64"/>
  <c r="D61"/>
  <c r="D41"/>
  <c r="D30"/>
  <c r="D26"/>
  <c r="D20"/>
  <c r="D14"/>
  <c r="D17"/>
  <c r="D18"/>
  <c r="D65" i="70"/>
  <c r="D52"/>
  <c r="D78"/>
  <c r="D54" i="10"/>
  <c r="D64"/>
  <c r="D68"/>
  <c r="D30"/>
  <c r="D37"/>
  <c r="D41"/>
  <c r="D61"/>
  <c r="D67"/>
  <c r="C41"/>
  <c r="C68" s="1"/>
  <c r="D26"/>
  <c r="D20"/>
  <c r="D18"/>
  <c r="D17"/>
  <c r="D14"/>
  <c r="D66" i="9"/>
  <c r="D60"/>
  <c r="D40"/>
  <c r="D36"/>
  <c r="D29"/>
  <c r="D25"/>
  <c r="D19"/>
  <c r="D17"/>
  <c r="C36"/>
  <c r="D14"/>
  <c r="D61" i="63"/>
  <c r="D71"/>
  <c r="D74"/>
  <c r="D75"/>
  <c r="D68"/>
  <c r="D48"/>
  <c r="D44"/>
  <c r="D37"/>
  <c r="D30"/>
  <c r="D26"/>
  <c r="D19"/>
  <c r="C48"/>
  <c r="C75"/>
  <c r="D16"/>
  <c r="D13"/>
  <c r="D63" i="40"/>
  <c r="D78" s="1"/>
  <c r="D77"/>
  <c r="D73"/>
  <c r="D12"/>
  <c r="C78"/>
  <c r="D15"/>
  <c r="D21"/>
  <c r="D28"/>
  <c r="D76"/>
  <c r="D70"/>
  <c r="D50"/>
  <c r="D46"/>
  <c r="D39"/>
  <c r="D32"/>
  <c r="D18"/>
  <c r="D16"/>
  <c r="D17"/>
  <c r="C76" i="25"/>
  <c r="D74" i="73"/>
  <c r="C74"/>
  <c r="D69"/>
  <c r="C42"/>
  <c r="D72"/>
  <c r="D66"/>
  <c r="D59"/>
  <c r="D46"/>
  <c r="D42"/>
  <c r="D35"/>
  <c r="D28"/>
  <c r="D24"/>
  <c r="D17"/>
  <c r="D13"/>
  <c r="D48" i="24"/>
  <c r="D71"/>
  <c r="D16"/>
  <c r="D75"/>
  <c r="D19"/>
  <c r="D26"/>
  <c r="D30"/>
  <c r="D37"/>
  <c r="D44"/>
  <c r="D61"/>
  <c r="D68"/>
  <c r="D74"/>
  <c r="C75"/>
  <c r="D13"/>
  <c r="D62" i="23"/>
  <c r="D72"/>
  <c r="D76"/>
  <c r="D75"/>
  <c r="D69"/>
  <c r="D49"/>
  <c r="D45"/>
  <c r="D38"/>
  <c r="D31"/>
  <c r="D27"/>
  <c r="D20"/>
  <c r="C76"/>
  <c r="D17"/>
  <c r="D16"/>
  <c r="D13"/>
  <c r="D62" i="14"/>
  <c r="D72"/>
  <c r="D75"/>
  <c r="D69"/>
  <c r="D49"/>
  <c r="D45"/>
  <c r="D38"/>
  <c r="D31"/>
  <c r="D27"/>
  <c r="D20"/>
  <c r="D17"/>
  <c r="D13"/>
  <c r="C76"/>
  <c r="D16"/>
  <c r="D54" i="69"/>
  <c r="D65"/>
  <c r="D61" i="66"/>
  <c r="D71"/>
  <c r="D63" i="43"/>
  <c r="D73"/>
  <c r="D64" i="22"/>
  <c r="D78"/>
  <c r="D13"/>
  <c r="D22"/>
  <c r="D29"/>
  <c r="D33"/>
  <c r="D40"/>
  <c r="D47"/>
  <c r="D51"/>
  <c r="D71"/>
  <c r="D77"/>
  <c r="D74"/>
  <c r="C78"/>
  <c r="D19"/>
  <c r="D18"/>
  <c r="D17"/>
  <c r="D63" i="64"/>
  <c r="D73"/>
  <c r="D64" i="48"/>
  <c r="D74"/>
  <c r="D67" i="47"/>
  <c r="D77"/>
  <c r="D69" i="45"/>
  <c r="D79"/>
  <c r="D61" i="37"/>
  <c r="D65" i="36"/>
  <c r="D20"/>
  <c r="D19"/>
  <c r="D17"/>
  <c r="D18"/>
  <c r="D16"/>
  <c r="D55" i="29"/>
  <c r="D70"/>
  <c r="D65"/>
  <c r="D62" i="7"/>
  <c r="D72"/>
  <c r="D62" i="6"/>
  <c r="D72"/>
  <c r="D78" i="67"/>
  <c r="D62"/>
  <c r="D73"/>
  <c r="D78" i="68"/>
  <c r="C79"/>
  <c r="D74"/>
  <c r="D80" i="71"/>
  <c r="D79"/>
  <c r="D75" i="72"/>
  <c r="D72"/>
  <c r="D71" i="37"/>
  <c r="D16" i="22"/>
  <c r="D76" i="72"/>
  <c r="C76"/>
  <c r="D16"/>
  <c r="D69"/>
  <c r="D62"/>
  <c r="D49"/>
  <c r="D45"/>
  <c r="D38"/>
  <c r="D31"/>
  <c r="D27"/>
  <c r="D20"/>
  <c r="D17"/>
  <c r="D13"/>
  <c r="C80" i="71"/>
  <c r="D19" i="70"/>
  <c r="D17"/>
  <c r="D20"/>
  <c r="D16"/>
  <c r="D72"/>
  <c r="D48"/>
  <c r="D41"/>
  <c r="D34"/>
  <c r="D30"/>
  <c r="D23"/>
  <c r="D13"/>
  <c r="C75" i="66"/>
  <c r="D30"/>
  <c r="D16"/>
  <c r="D74"/>
  <c r="D68"/>
  <c r="D48"/>
  <c r="D44"/>
  <c r="D37"/>
  <c r="D26"/>
  <c r="D19"/>
  <c r="D13"/>
  <c r="D21" i="64"/>
  <c r="D76"/>
  <c r="D39"/>
  <c r="D46"/>
  <c r="D70"/>
  <c r="D50"/>
  <c r="D32"/>
  <c r="D13"/>
  <c r="D28"/>
  <c r="C18"/>
  <c r="C16"/>
  <c r="C17"/>
  <c r="D48" i="36"/>
  <c r="D41"/>
  <c r="D34"/>
  <c r="D30"/>
  <c r="D23"/>
  <c r="D13"/>
  <c r="D52"/>
  <c r="D72"/>
  <c r="D78"/>
  <c r="D20" i="29"/>
  <c r="D27"/>
  <c r="D31"/>
  <c r="D38"/>
  <c r="D42"/>
  <c r="D62"/>
  <c r="D68"/>
  <c r="D69"/>
  <c r="C70"/>
  <c r="C17"/>
  <c r="C16"/>
  <c r="D13"/>
  <c r="D20" i="7"/>
  <c r="D69"/>
  <c r="D75"/>
  <c r="D17"/>
  <c r="D16"/>
  <c r="D49"/>
  <c r="D45"/>
  <c r="D38"/>
  <c r="D31"/>
  <c r="D27"/>
  <c r="D13"/>
  <c r="D76" i="6"/>
  <c r="D75"/>
  <c r="D69"/>
  <c r="D49"/>
  <c r="D45"/>
  <c r="D38"/>
  <c r="D31"/>
  <c r="D27"/>
  <c r="D20"/>
  <c r="D13"/>
  <c r="C76"/>
  <c r="D17"/>
  <c r="D16"/>
  <c r="C69" i="69"/>
  <c r="D69"/>
  <c r="D16"/>
  <c r="D68"/>
  <c r="D62"/>
  <c r="D41"/>
  <c r="D37"/>
  <c r="D30"/>
  <c r="D26"/>
  <c r="D19"/>
  <c r="D13"/>
  <c r="D24" i="47"/>
  <c r="D31"/>
  <c r="D35"/>
  <c r="D42"/>
  <c r="D49"/>
  <c r="D53"/>
  <c r="D74"/>
  <c r="D80"/>
  <c r="D17"/>
  <c r="D16"/>
  <c r="D19"/>
  <c r="D18"/>
  <c r="D20"/>
  <c r="C21"/>
  <c r="D13"/>
  <c r="D14" i="46"/>
  <c r="D18"/>
  <c r="D61"/>
  <c r="D41"/>
  <c r="D37"/>
  <c r="D30"/>
  <c r="D26"/>
  <c r="D20"/>
  <c r="D16" i="37"/>
  <c r="D30"/>
  <c r="D37"/>
  <c r="D44"/>
  <c r="D48"/>
  <c r="D68"/>
  <c r="D74"/>
  <c r="D26"/>
  <c r="D19"/>
  <c r="D13"/>
  <c r="D83" i="45"/>
  <c r="D82"/>
  <c r="D76"/>
  <c r="D55"/>
  <c r="D51"/>
  <c r="D44"/>
  <c r="D37"/>
  <c r="D33"/>
  <c r="D26"/>
  <c r="D13"/>
  <c r="C83"/>
  <c r="C23"/>
  <c r="C22"/>
  <c r="C20"/>
  <c r="D20"/>
  <c r="C21"/>
  <c r="C19"/>
  <c r="C18"/>
  <c r="D17"/>
  <c r="D16"/>
  <c r="D20" i="43"/>
  <c r="D27"/>
  <c r="D76"/>
  <c r="D70"/>
  <c r="D77"/>
  <c r="D49"/>
  <c r="D45"/>
  <c r="D38"/>
  <c r="D31"/>
  <c r="C77"/>
  <c r="C17"/>
  <c r="D17"/>
  <c r="D16"/>
  <c r="C16" s="1"/>
  <c r="D13"/>
  <c r="D21" i="48"/>
  <c r="C78"/>
  <c r="D16"/>
  <c r="D18"/>
  <c r="D32"/>
  <c r="D71"/>
  <c r="D50"/>
  <c r="D46"/>
  <c r="D39"/>
  <c r="D17"/>
  <c r="D77"/>
  <c r="C13"/>
  <c r="D18" i="68"/>
  <c r="D17"/>
  <c r="D16"/>
  <c r="D28" i="48"/>
  <c r="D13"/>
  <c r="D71" i="68"/>
  <c r="D50"/>
  <c r="D46"/>
  <c r="D39"/>
  <c r="D32"/>
  <c r="D28"/>
  <c r="D21"/>
  <c r="D13"/>
  <c r="D76" i="67"/>
  <c r="D49"/>
  <c r="D13"/>
  <c r="D20"/>
  <c r="D17"/>
  <c r="D16"/>
  <c r="D77"/>
  <c r="C78"/>
  <c r="C73" i="52"/>
  <c r="D27" i="67"/>
  <c r="D70"/>
  <c r="D45"/>
  <c r="D38"/>
  <c r="D31"/>
  <c r="C79" i="78" l="1"/>
  <c r="D80" i="76"/>
  <c r="D76" i="55"/>
  <c r="C78" i="54"/>
  <c r="D73" i="20"/>
  <c r="D73" i="18"/>
  <c r="D73" i="53"/>
  <c r="D70" i="61"/>
  <c r="D77" i="35"/>
  <c r="D67" i="9"/>
  <c r="D66" i="28"/>
  <c r="D77" i="27"/>
  <c r="D65" i="16"/>
  <c r="D79" i="70"/>
  <c r="D76" i="14"/>
  <c r="C77" i="64"/>
  <c r="D77"/>
  <c r="D75" i="66"/>
  <c r="C73" i="53"/>
  <c r="C75" i="37" l="1"/>
  <c r="D75"/>
  <c r="D46" i="21" l="1"/>
  <c r="C73"/>
  <c r="D66"/>
  <c r="D59"/>
  <c r="D42"/>
  <c r="D35"/>
  <c r="D28"/>
  <c r="D24"/>
  <c r="D17"/>
  <c r="D66" i="20"/>
  <c r="D42"/>
  <c r="D35"/>
  <c r="D28"/>
  <c r="D24"/>
  <c r="D17"/>
  <c r="D46" i="19"/>
  <c r="D66"/>
  <c r="D59"/>
  <c r="D42"/>
  <c r="D35"/>
  <c r="D28"/>
  <c r="D24"/>
  <c r="D17"/>
  <c r="D66" i="18"/>
  <c r="D59"/>
  <c r="D42"/>
  <c r="D35"/>
  <c r="D28"/>
  <c r="D24"/>
  <c r="D17"/>
  <c r="D68" i="17"/>
  <c r="D61"/>
  <c r="D44"/>
  <c r="D37"/>
  <c r="D30"/>
  <c r="D26"/>
  <c r="D19"/>
  <c r="C65" i="16"/>
  <c r="E65" s="1"/>
  <c r="D73" i="21" l="1"/>
  <c r="D78" i="48" l="1"/>
  <c r="D17" i="46"/>
  <c r="C79" i="70" l="1"/>
  <c r="D18"/>
  <c r="C76" i="15"/>
  <c r="C78" i="50"/>
  <c r="C79" i="51"/>
  <c r="D19"/>
  <c r="D81" i="77"/>
</calcChain>
</file>

<file path=xl/sharedStrings.xml><?xml version="1.0" encoding="utf-8"?>
<sst xmlns="http://schemas.openxmlformats.org/spreadsheetml/2006/main" count="8225" uniqueCount="394">
  <si>
    <t xml:space="preserve">Отчет о выполненных работах и оказанных услугах по содержанию общего имущества </t>
  </si>
  <si>
    <t>Наименование работ</t>
  </si>
  <si>
    <t>Периодичность</t>
  </si>
  <si>
    <t>Стоимость работ (руб.)</t>
  </si>
  <si>
    <t>Стоимость работ (руб.)/м2 в год</t>
  </si>
  <si>
    <t>Конструктивные элементы здания</t>
  </si>
  <si>
    <t>Осмотры конструктивных элементов: кровель с проверкой состояния слуховых окон, вентиляционных каналов, наличия тяги, техническое состояние вент. Шахт, фундаментов, отмосток, цоколей, проверка состояния продухов, подвала и его температурно-влажностного режима, конструкций стен и фасадов, состояния внутренней отделки, дверей подвалов, технических подполий, запорных устройств на них, входов в подъезды. Проверка соответствия параметров вертикальной планировки территории вокруг здания проектным параметрам, состояния утеплителя, гидроизоляции, адгезии отделочных слоев к конструкциям перекрытия (покрытия), температурно-влажностного режима и воздухообмена на чердаке, с составлением акта технического осмотра здания. Контроль технического состояния контейнерной площадки.</t>
  </si>
  <si>
    <t xml:space="preserve">Мелкий ремонт кровли, конька, разделок и примыканий, дверей, дверных блоков, замена разбитых стекол, ремонт просевшей отмостки, изоляции утеплителя, слуховых окон, боровов, козырьков над входами в подъезд, восстановление отделки стен, потолков, поручней, детских и спортивных площадок, лавочек, вешалов, очистка кровли от снега, наледи, сосулек, грязи, мусора, мелкий ремонт мягкой кровли до 2 м2, шиферной кровли до5 м2, прочистка дымовентиляционных каналов, герметизация межпанельных швов до 2-х метров в одном месте, дератизация, дезинсекция помещений, входящих в состав общего имущества МКД, ремонт контейнерных площадок.  </t>
  </si>
  <si>
    <t>В течение действия договора</t>
  </si>
  <si>
    <t>Ремонт:</t>
  </si>
  <si>
    <t>Уборка придомовой территории</t>
  </si>
  <si>
    <t>Уборка территории МКД (усовершенствованное покрытие, тротуары)</t>
  </si>
  <si>
    <t>Уборка газонов от мусора</t>
  </si>
  <si>
    <t>Уборка территории МКД без покрытия</t>
  </si>
  <si>
    <t>Выкашивание газонов</t>
  </si>
  <si>
    <t>Уборка от снега и наледи площадок перед подъездами, тротуаров</t>
  </si>
  <si>
    <t>Уборка помещений общего пользования</t>
  </si>
  <si>
    <t>Сухая уборка помещений общего пользования</t>
  </si>
  <si>
    <t>Влажная уборка помещений общего пользования</t>
  </si>
  <si>
    <t>Внутридомовое инженерное оборудование:</t>
  </si>
  <si>
    <t>Система холодного водоснабжения</t>
  </si>
  <si>
    <t>Заделка свищей, устранение течи (установка хомута, сварочные работы) на трубопроводах ХВС.</t>
  </si>
  <si>
    <t>в теч.действ.догов.</t>
  </si>
  <si>
    <t>Плановая ревизия вентилей ХВС ( уплотнение сгонов, устранение течи и т.д.).</t>
  </si>
  <si>
    <t>июль</t>
  </si>
  <si>
    <t>Плановая ревизия задвижек ХВС (д=50 мм – июль), (набивка сальников, уплотнение соединений ).</t>
  </si>
  <si>
    <t>Замена небольших участков внутренних систем ХВС в МОП (сварочные работы) до 2 м.</t>
  </si>
  <si>
    <t>Промывка внутридомовых систем трубопровода ХВ</t>
  </si>
  <si>
    <t>Устранение аварийных ситуаций системы водоснабжения, сопутствующие работы</t>
  </si>
  <si>
    <t>Система водоотведения</t>
  </si>
  <si>
    <t>Прочистка канализационных сетей</t>
  </si>
  <si>
    <t>Прочистка лежака</t>
  </si>
  <si>
    <t>Устранение аварийных ситуаций системы канализации, сопутствующие работы</t>
  </si>
  <si>
    <t>Система отопления</t>
  </si>
  <si>
    <t>Проверка исправности и работоспособности оборудования, выполнение наладочных и ремонтных работ на индивидуальных тепловых пунктах в доме.</t>
  </si>
  <si>
    <t>Плановая ревизия вентилей отопления (уплотнение сгонов, устранение течи и т.д.).</t>
  </si>
  <si>
    <t>Плановая ревизия задвижек отопления (набивка сальников, уплотнение соединений).</t>
  </si>
  <si>
    <t>Ликвидация воздушных пробок в системе отопления.</t>
  </si>
  <si>
    <t>Снятие параметров, постоянный контроль параметров теплоносителя и воды (давления, температуры, расхода), восстановление требуемых параметров и герметичности оборудования.</t>
  </si>
  <si>
    <t>Подготовка к зиме</t>
  </si>
  <si>
    <t>Ремонт запорно-регулирующей арматуры ТУ:</t>
  </si>
  <si>
    <t>Ремонт и ревизия вентилей ТУ</t>
  </si>
  <si>
    <t>Ремонт и ревизия задвижек ТУ</t>
  </si>
  <si>
    <t>Прочистка грязевиков и фильтров</t>
  </si>
  <si>
    <t xml:space="preserve">Промывка  и испытание системы отопления </t>
  </si>
  <si>
    <t>Устранение аварийных ситуаций системы центрального отопления, сопутствующие работы</t>
  </si>
  <si>
    <t>Электроснабжение</t>
  </si>
  <si>
    <t>Планово-профилактический ремонт ВРУ</t>
  </si>
  <si>
    <t>Осмотр линий электрических сетей, арматуры и электрооборудования: силовые установки.</t>
  </si>
  <si>
    <t>Замеры сопротивления изоляции проводов в МОП, проверка и обеспечение работоспособности устройств защитного отключения.</t>
  </si>
  <si>
    <t>Замена предохранителей, мелкий ремонт эл.проводки</t>
  </si>
  <si>
    <t>Устранение аварийных ситуаций системы электроснабжения, сопутствующие работы</t>
  </si>
  <si>
    <t>Проверка заземления ванн.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</si>
  <si>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</si>
  <si>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неисправности.</t>
  </si>
  <si>
    <t>Сбор и вывоз твердых бытовых отходов</t>
  </si>
  <si>
    <t>ИТОГО: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</si>
  <si>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2015 года</t>
    </r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</si>
  <si>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</si>
  <si>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</si>
  <si>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</si>
  <si>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</si>
  <si>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______   кв.м.</t>
  </si>
  <si>
    <t>2 категория</t>
  </si>
  <si>
    <t>1 категория</t>
  </si>
  <si>
    <t>Система горячего водоснабжения</t>
  </si>
  <si>
    <t>Заделка свищей, устранение течи (установка хомута, сварочные работы) на трубопроводах ГВС</t>
  </si>
  <si>
    <t>Плановая ревизия вентилей ГВС ( уплотнение сгонов, устранение течи и т.д.)</t>
  </si>
  <si>
    <t>Плановая ревизия задвижек ГВС ( набивка сальников, уплотнение соединений )</t>
  </si>
  <si>
    <t>Замена небольших участков внутренних систем ГВС в МОП (сварочные работы) до 2 м</t>
  </si>
  <si>
    <t>Устранение аварийных ситуаций водопровод ГВ, сопутствующие работы</t>
  </si>
  <si>
    <t xml:space="preserve">Промывка внутридомовых систем трубопровода ГВ </t>
  </si>
  <si>
    <t>Общая жиая площадь МКД  ______   кв.м.</t>
  </si>
  <si>
    <t xml:space="preserve">Площадь подвальных помещений,                  кв.м.       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</si>
  <si>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мая по 31 декабря 2015 года</t>
    </r>
  </si>
  <si>
    <t>5раз в неделю</t>
  </si>
  <si>
    <t>июнь,август</t>
  </si>
  <si>
    <t>1 раз в месяц</t>
  </si>
  <si>
    <t>1 раз в неделю</t>
  </si>
  <si>
    <t>в течение срока действия договора</t>
  </si>
  <si>
    <t>август</t>
  </si>
  <si>
    <t>Май</t>
  </si>
  <si>
    <t>в отопительный период</t>
  </si>
  <si>
    <t>апрель,октябрь</t>
  </si>
  <si>
    <t>май</t>
  </si>
  <si>
    <t>Аварийная -диспетчерская служба:</t>
  </si>
  <si>
    <t>круглосуточно</t>
  </si>
  <si>
    <t>ежедневно</t>
  </si>
  <si>
    <t>июнь</t>
  </si>
  <si>
    <t xml:space="preserve">Восстановление шиферной кровли  до 5 м2, конька, разделок и примыканий,  восстановление изоляции утеплителя,  ремонт слуховых окон, боровов; ремонт дверей, дверных блоков; замена разбитых стекол; ремонт просевшей отмостки; ремонт козырьков над входами в подъезд;  восстановление отделки стен, потолков, поручней; окрашивание и ремонт детских и спортивных площадок, лавочек, вешалов; очистка кровли от снега, наледи, сосулек; очистка чердачных помещений и подвалов от мусора; прочистка дымовентиляционных каналов;  герметизация межпанельных швов до 2-х метров в одном месте;  дератизация, дезинсекция помещений, входящих в состав общего имущества МКД, ремонт контейнерной площадки.  </t>
  </si>
  <si>
    <t>Сбор и вывоз твердых бытовых отходов.</t>
  </si>
  <si>
    <t>Вывоз крупногабаритных предметов домашнего обихода.</t>
  </si>
  <si>
    <t>Уборка площадок для размещение мусорных контейнеров.</t>
  </si>
  <si>
    <t>Холодный период года:</t>
  </si>
  <si>
    <t>холодный период года</t>
  </si>
  <si>
    <t>Подготовка к отопительному сезону:</t>
  </si>
  <si>
    <t>Отключение  участков инженерных сетей,  слив отключенных участков систем центрального отопления и обратное наполнение с пуском системы после устранения неисправности, выполнение заявок населения, аварийно-диспетчерская служба.</t>
  </si>
  <si>
    <t>Теплый период года: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</si>
  <si>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7 по ул. Весенний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</si>
  <si>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рек 2012</t>
  </si>
  <si>
    <t>нет</t>
  </si>
  <si>
    <t>07 августа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</si>
  <si>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5 по ул. Весенний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</si>
  <si>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01 августа</t>
  </si>
  <si>
    <t>апрель</t>
  </si>
  <si>
    <t>октябрь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</si>
  <si>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26 по ул Зеленая 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</si>
  <si>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февраля по 31 декабря 2015 года</t>
    </r>
  </si>
  <si>
    <t>сентябрь</t>
  </si>
  <si>
    <t>1 раз месяц</t>
  </si>
  <si>
    <t>май,</t>
  </si>
  <si>
    <t>03-06 июля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</si>
  <si>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30 по ул Зеленая 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</si>
  <si>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09-10 июля</t>
  </si>
  <si>
    <t>Планировка дворой территории</t>
  </si>
  <si>
    <t>Организация проверки состояния системы внутридомового газового оборудования  и ее отдельных элементов</t>
  </si>
  <si>
    <t>1раз в год</t>
  </si>
  <si>
    <t>июнь,</t>
  </si>
  <si>
    <t>26-27 июня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</si>
  <si>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217 по ул 9Мая 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</si>
  <si>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3 по пер Весенний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</si>
  <si>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ноябрь</t>
  </si>
  <si>
    <t xml:space="preserve"> август</t>
  </si>
  <si>
    <t>12-13 августа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</si>
  <si>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7 по пер Зейский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</si>
  <si>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Изготовление и установка  тамбурных дверей (1шт)</t>
  </si>
  <si>
    <t>22-23июля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</si>
  <si>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217/2 по ул 9Мая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</si>
  <si>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30 июня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</si>
  <si>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219 по ул 9Мая 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</si>
  <si>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02 июля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</si>
  <si>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123В по ул 50лет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</si>
  <si>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11 июня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</si>
  <si>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123 Б  по ул 50лет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</si>
  <si>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10 июня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</si>
  <si>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123 Г  по ул 50лет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</si>
  <si>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123 Д  по ул 50лет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</si>
  <si>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15 июня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</si>
  <si>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123 А по ул 50лет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</si>
  <si>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Изготовление и установка  оконных рам (1шт)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</si>
  <si>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9/1 по пер Зейский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</si>
  <si>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9/2 по пер Зейский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</si>
  <si>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19-20июля</t>
  </si>
  <si>
    <t xml:space="preserve">Заключение с РСО договоров на поставку   ЖКУ; контроль за качеством поставляемых ЖКУ;  начисление платы за ЖКУ; печать и доставка квитанций на оплату ЖКУ; ведение лицевых счетов; взыскание задолженности за ЖКУ; организация общих собраний собственников помещений в МКД.  </t>
  </si>
  <si>
    <t>Изготовление и установка лавочки (1шт)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</si>
  <si>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9 по пер Зейский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</si>
  <si>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23-24июля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</si>
  <si>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11 по пер Зейский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</si>
  <si>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21-22июля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</si>
  <si>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208 по ул. 9Мая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</si>
  <si>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28 февраля по 31 декабря 2015 года</t>
    </r>
  </si>
  <si>
    <t>14-15 июля</t>
  </si>
  <si>
    <t>Изготовление и установка тамбурных дверей (1шт)</t>
  </si>
  <si>
    <t>Льгота  председателю Совета МКД за жилищные услуги (57,8м2)</t>
  </si>
  <si>
    <t>март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</si>
  <si>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221 по ул 9Мая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</si>
  <si>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26 июня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</si>
  <si>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4А по пер Весенний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</si>
  <si>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Льгота  председателю Совета МКД за жилищные услуги (93,4м2)</t>
  </si>
  <si>
    <t>17-19 августа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</si>
  <si>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225 по ул 9Мая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</si>
  <si>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23 июня</t>
  </si>
  <si>
    <t>Изготовление и установка оконных рам (2шт)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</si>
  <si>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123 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</si>
  <si>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03-04 июня</t>
  </si>
  <si>
    <t>Льгота  председателю Совета МКД за жилищные услуги (58,7м2)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</si>
  <si>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60 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</si>
  <si>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125Б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</si>
  <si>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01 июня</t>
  </si>
  <si>
    <t>Льгота  председателю Совета МКД за жилищные услуги (80,9м2)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</si>
  <si>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210 по ул 9Мая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</si>
  <si>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11-12июля</t>
  </si>
  <si>
    <t>Монтаж датчиков движения на подъездное освещения (4шт)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</si>
  <si>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 по пер Весенний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</si>
  <si>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11-12августа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</si>
  <si>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 по ул Озерная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</si>
  <si>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11-12сентября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</si>
  <si>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60/2  по ул 50лет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</si>
  <si>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05-06- мая</t>
  </si>
  <si>
    <t>Льгота  председателю Совета МКД за жилищные услуги (59,5м2)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</si>
  <si>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24А  по ул Зеленая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</si>
  <si>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Льгота  председателю Совета МКД за жилищные услуги (63,7м2)</t>
  </si>
  <si>
    <t>08-09 сентября</t>
  </si>
  <si>
    <t>Льгота  председателю Совета МКД за жилищные услуги (47,8м2)</t>
  </si>
  <si>
    <t>07-08 май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</si>
  <si>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125 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</si>
  <si>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28-29 мая</t>
  </si>
  <si>
    <t>Льгота  председателю Совета МКД за жилищные услуги (50,1м2)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</si>
  <si>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57 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</si>
  <si>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10-11 мая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</si>
  <si>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27  по ул  Никольское шоссе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</si>
  <si>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170А  по ул  Никольское шоссе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</si>
  <si>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Льгота  председателю Совета МКД за жилищные услуги (41,9м2)</t>
  </si>
  <si>
    <t>07-08сентября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</si>
  <si>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172  по ул  Никольское шоссе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</si>
  <si>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09- 11сентября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</si>
  <si>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42 по ул Транспортная 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</si>
  <si>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Остекление оконных рам (3,17)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</si>
  <si>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6 по ул  2-я Транспортная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</si>
  <si>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15- 16сентября</t>
  </si>
  <si>
    <t>февраль</t>
  </si>
  <si>
    <t xml:space="preserve"> </t>
  </si>
  <si>
    <t>7 мая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</si>
  <si>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121 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</si>
  <si>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Льгота  председателю Совета МКД за жилищные услуги (58,4м2)</t>
  </si>
  <si>
    <t>Остеление оконных рам (4,48 м2)</t>
  </si>
  <si>
    <t>3 июня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</si>
  <si>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125А 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</si>
  <si>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30 мая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</si>
  <si>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125В 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</si>
  <si>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02 июня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</si>
  <si>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127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</si>
  <si>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27 мая</t>
  </si>
  <si>
    <t>Льгота  председателю Совета МКД за жилищные услуги (49м2)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</si>
  <si>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129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</si>
  <si>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Льгота  председателю Совета МКД за жилищные услуги (52,5м2)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</si>
  <si>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131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</si>
  <si>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16-18мая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</si>
  <si>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133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</si>
  <si>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135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</si>
  <si>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19-20 мая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</si>
  <si>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137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</si>
  <si>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21-22мая</t>
  </si>
  <si>
    <t>Льгота  председателю Совета МКД за жилищные услуги (58м2)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</si>
  <si>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175А по ул 9Мая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</si>
  <si>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14 августа</t>
  </si>
  <si>
    <t>Планировка дворовой территории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</si>
  <si>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223 по ул 9Мая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</si>
  <si>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32 по ул Зеленая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</si>
  <si>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22 июня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</si>
  <si>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4 по ул Луценко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</si>
  <si>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29-30 июля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</si>
  <si>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5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</si>
  <si>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Изготовление и монтаж оконных рам (2шт)</t>
  </si>
  <si>
    <t>Изготовление и монтаж лавочек (2шт)</t>
  </si>
  <si>
    <t>Льгота  председателю Совета МКД за жилищные услуги (43,1м2)</t>
  </si>
  <si>
    <t>17-18 августа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</si>
  <si>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6 по пер Летний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</si>
  <si>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106А по ул Благовещенская 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</si>
  <si>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 xml:space="preserve">Стоимость работ (руб.)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</si>
  <si>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106 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</si>
  <si>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 по 31 декабря 2016 года</t>
    </r>
  </si>
  <si>
    <r>
      <rPr>
        <b/>
        <sz val="9"/>
        <color theme="1"/>
        <rFont val="Times New Roman"/>
        <family val="1"/>
        <charset val="204"/>
      </rPr>
      <t>Текущий ремонт</t>
    </r>
    <r>
      <rPr>
        <sz val="9"/>
        <color theme="1"/>
        <rFont val="Times New Roman"/>
        <family val="1"/>
        <charset val="204"/>
      </rPr>
      <t>:</t>
    </r>
  </si>
  <si>
    <t>Монтаж датчиков движения  в подъезде (6шт)</t>
  </si>
  <si>
    <t>июнь-август</t>
  </si>
  <si>
    <t>Установка манометров : отопления -2шт , ГВС-1шт, установка термотра: отопление, ГВС-2шт</t>
  </si>
  <si>
    <t>Льгота  председателю Совета МКД за жилищные услуги (51,1м2)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</si>
  <si>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153А по ул Ленина 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</si>
  <si>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8 по ул  Медицинский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</si>
  <si>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2016   по 31 декабря 2016 года</t>
    </r>
  </si>
  <si>
    <t>Ремонт шиферной кровли 14 м2 ,коньковой доски 3пм</t>
  </si>
  <si>
    <t>Ремонт лавочки во дворе, ремонт тамбурных дверей</t>
  </si>
  <si>
    <t>Установка почтовых ящиков</t>
  </si>
  <si>
    <t>Ремонт шиферной кровли 8м2</t>
  </si>
  <si>
    <t>Остекление оконных рам (1,47м2)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</si>
  <si>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январь по 31 декабря 2016года</t>
    </r>
  </si>
  <si>
    <t>Монтаж датчиков  движения в подъезде (32шт)</t>
  </si>
  <si>
    <t>Установка новых почтовых ящиков (60шт)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</si>
  <si>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 по 31 декабря 2016года</t>
    </r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</si>
  <si>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  по 31 декабря 2016 года</t>
    </r>
  </si>
  <si>
    <t>Косметический ремонт подъездов (1-7)</t>
  </si>
  <si>
    <t>Установка датчиков движения (9)</t>
  </si>
  <si>
    <t>Изготовление и установка оконных рам (9шт)</t>
  </si>
  <si>
    <t>Остекление оконных рам (31,3м2)</t>
  </si>
  <si>
    <t>Изготовление и установка тамбурныхдверей (3шт)</t>
  </si>
  <si>
    <t>Изготовление и установка лавочек (6шт)</t>
  </si>
  <si>
    <t>Установка новых почтовых ящиков (100шт)</t>
  </si>
  <si>
    <t>Ремонт шиферной кровли (8м2)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</si>
  <si>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2016 года</t>
    </r>
  </si>
  <si>
    <t>Ремонт шиферной кровли  14м2, коньковой доски 6,ремонт слуховых окон</t>
  </si>
  <si>
    <t>Изготовление и установка рам 1шт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</si>
  <si>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01января   по 31 декабря 2016 года</t>
    </r>
  </si>
  <si>
    <t>Косметический ремонт подъездов (1-3)</t>
  </si>
  <si>
    <t>Монтаж датчиков подъездов (3шт)</t>
  </si>
  <si>
    <t>Ремонт отмостки (151,1 м2)</t>
  </si>
  <si>
    <t>Изготовление и установка оконных рам (18,85м2)</t>
  </si>
  <si>
    <t>Изготовление и установка тамбурных дверей (3шт)</t>
  </si>
  <si>
    <t>Установка новых почтовых ящиков (27шт)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</si>
  <si>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 5 по ул Южная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</si>
  <si>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Косметический ремонт подъездов  (1-3)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</si>
  <si>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январь  по 31 декабря 2016года</t>
    </r>
  </si>
  <si>
    <t>Изготовление и установка забора палисадника (48м)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</si>
  <si>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01января по 31 декабря 2016 года</t>
    </r>
  </si>
  <si>
    <t>Изготовление и установка песочницы (1шт)</t>
  </si>
  <si>
    <t>Ремонт отмостки (107,8 м)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</si>
  <si>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2016года</t>
    </r>
  </si>
  <si>
    <t>Установка тамбурных дверей (2шт)</t>
  </si>
  <si>
    <t>Установка новых почтовых ящиков (10шт)</t>
  </si>
  <si>
    <t>Остекление оконных рам (12,96м2)</t>
  </si>
  <si>
    <t>Изготовление и монтаж тамбурных дверей (1шт)</t>
  </si>
  <si>
    <t>Изготовление и монтаж песочницы (шт)</t>
  </si>
  <si>
    <t>Изготовление и монтаж лавочки (2)</t>
  </si>
  <si>
    <t>Изготовление и монтаж заборчика (100м)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</si>
  <si>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январь по 31 декабря 2016 года</t>
    </r>
  </si>
  <si>
    <t>Остекление оконных рам (2,32м2)</t>
  </si>
  <si>
    <t>Монтаж и изгототовление тамбурных дверей (1шт)</t>
  </si>
  <si>
    <t>Замена электропроводки МОП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</si>
  <si>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6 по ул. Луценко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</si>
  <si>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Заделка межпонельных швов (129пм)</t>
  </si>
  <si>
    <t>Установка новых почтовых ящиков (79шт)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</si>
  <si>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8по ул. Луценко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</si>
  <si>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 xml:space="preserve">Планировка дворовой территории </t>
  </si>
  <si>
    <t>Косметический ремонт подъездов (4,5,6,7,8)</t>
  </si>
  <si>
    <t>июль,август</t>
  </si>
  <si>
    <t>Изготовление и установка тамбурных дверей (4шт)</t>
  </si>
  <si>
    <t>Изготовление и установка песочницы(1шт)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</si>
  <si>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8А по ул. Луценко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</si>
  <si>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Заделка межпанельных швов (77пм)</t>
  </si>
  <si>
    <t>Косметический ремонт подъездов (1-8)</t>
  </si>
  <si>
    <t>Заделка межпанельных швов (10м)</t>
  </si>
  <si>
    <t>Остекление оконных рам (3,92м2)</t>
  </si>
  <si>
    <t>Льгота  председателю Совета МКД за жилищные услуги (31,9м2)</t>
  </si>
  <si>
    <t>Льгота  председателю Совета МКД за жилищные услуги (36,4м2)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</si>
  <si>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апреля по 31 декабря 2016года</t>
    </r>
  </si>
  <si>
    <t>Косметический ремонт подъезда (1,2)</t>
  </si>
  <si>
    <t>Изготовление и установка  тамбурных дверей (2шт)</t>
  </si>
  <si>
    <t>Установка новых почтовых ящиков (36шт)</t>
  </si>
  <si>
    <t>Устройство коньковой доски(19м)</t>
  </si>
  <si>
    <t>Заделка межпанельных швов (79м)</t>
  </si>
  <si>
    <t>Заделка межпанельных швов (4м)</t>
  </si>
  <si>
    <t>Установка тамбурных дверей (5шт)</t>
  </si>
  <si>
    <t>Заделка межпанельных швов (22м)</t>
  </si>
  <si>
    <t>Заделка межпанельных швов (8 м)</t>
  </si>
  <si>
    <t>Изготовление и монтаж грибка (1шт)</t>
  </si>
  <si>
    <t>Заделка межпанельных швов (4м )</t>
  </si>
  <si>
    <t>Остекление оконных рам  (3,2 м2)</t>
  </si>
  <si>
    <t>Косметический ремонт подъезда (1-4)</t>
  </si>
  <si>
    <t>Остекление оконных рам (0,55 м2)</t>
  </si>
  <si>
    <t>Заделка межпанельных швов (68м)</t>
  </si>
  <si>
    <t>Установка дворовых фонарей (1шт)</t>
  </si>
  <si>
    <t>Изготовление и установка тамбурных дверей (2шт)</t>
  </si>
  <si>
    <t>Изготовление и установка лавочек (2шт)</t>
  </si>
  <si>
    <t>Заделка межпанельных швов (7м)</t>
  </si>
  <si>
    <t>Изготовление и установка забора полисадника (22пм)</t>
  </si>
  <si>
    <t>Заделка межпанельных швов (31м)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</si>
  <si>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1 января по 31 декабря 2016 года</t>
    </r>
  </si>
  <si>
    <t>Замена элетропроводки МОП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</si>
  <si>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01января по 31 декабря 20156года</t>
    </r>
  </si>
  <si>
    <t>Изготовление и монтаж оконных рам (9шт)</t>
  </si>
  <si>
    <t>Остекление оконных рам (8,18м2)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</si>
  <si>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01января по 31 декабря 2016года</t>
    </r>
  </si>
  <si>
    <t>Остекление оконных рам (1,15м2)</t>
  </si>
  <si>
    <t>Изготовление и установка водосточной трубы (1м)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</si>
  <si>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25 января по 31 декабря 2016 года</t>
    </r>
  </si>
  <si>
    <t>Остекление оконных блоков ( 0,62м2)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</si>
  <si>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 по 31 декабря 2015 года</t>
    </r>
  </si>
  <si>
    <t>Ремонт кровля (8м2)</t>
  </si>
  <si>
    <t>Косметический ремонт поъезда (1-3)</t>
  </si>
  <si>
    <t>Ремонт отмостки (146м)</t>
  </si>
  <si>
    <t>Замена шифера (4м2)</t>
  </si>
  <si>
    <t>Косметический ремонт подъезда (1подъезд)</t>
  </si>
  <si>
    <t>Устройство кровли в подвал</t>
  </si>
  <si>
    <t>Изготовление и установка рам (2шт)</t>
  </si>
  <si>
    <t>Остекление оконных рам (1,92м )</t>
  </si>
  <si>
    <t>Установка коньковой доски (6м)</t>
  </si>
  <si>
    <t>Установка  и изготовление оконных рам (2шт)</t>
  </si>
  <si>
    <t>Изготовлени и установка тамбурных дверей (3шт)</t>
  </si>
  <si>
    <t>Остекление оконных рам (0,76м2)</t>
  </si>
  <si>
    <t>Установка коньковой доски (3м)</t>
  </si>
  <si>
    <t>Установка новых почтовых ящиков (72шт)</t>
  </si>
  <si>
    <t>Остекление оконных рам (0,36м2)</t>
  </si>
  <si>
    <t>Изготовление и монтаж лавочки (2шт)</t>
  </si>
  <si>
    <t>Установка тамбурных дверей (1шт)</t>
  </si>
  <si>
    <t>Изготовление и установка оконных рам (1шт)</t>
  </si>
  <si>
    <t>Остекление оконных рам (13,4м2)</t>
  </si>
  <si>
    <t>Ремонт: омостки ((54,3м2)</t>
  </si>
  <si>
    <t>Изготовление и установка дверей (1шт)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</si>
  <si>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30 по ул. Котовского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</si>
  <si>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01августа  по 31 декабря 2016 года</t>
    </r>
  </si>
  <si>
    <t>Установка ОПУ на теплоснабжение</t>
  </si>
  <si>
    <t>Льгота  председателю Совета МКД за жилищные услуги (95,8м2)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</si>
  <si>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4 по ул. Батарейная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</si>
  <si>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Косметический ремонт подъездов  1-3)</t>
  </si>
  <si>
    <t>Заделка межпанельных швов (114м)</t>
  </si>
  <si>
    <t>Изготовление и установка забора полисадника (100м)</t>
  </si>
  <si>
    <t>Льгота  председателю Совета МКД за жилищные услуги (52,6м2)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</si>
  <si>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 по ул. Братская 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</si>
  <si>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Ремонт отмостки (92,2)</t>
  </si>
  <si>
    <t>Изготовление и установка забора полисадника (60м)</t>
  </si>
  <si>
    <t>Монтаж датчиков движения (29шт)</t>
  </si>
  <si>
    <t>Льгота  председателю Совета МКД за жилищные услуги (70,5м2)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</si>
  <si>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01июня   по 31 декабря 2016 года</t>
    </r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</si>
  <si>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7 по ул. Вокзальная  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</si>
  <si>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Монтаж и установка лавочек (2шт)</t>
  </si>
  <si>
    <t>Изготовление заборчика в палисаднике 12м)</t>
  </si>
  <si>
    <t>Установка почтовых ящиков (45шт)</t>
  </si>
  <si>
    <t>Установка ОПУ на ГВ (1шт)</t>
  </si>
  <si>
    <t>Льгота  председателю Совета МКД за жилищные услуги (87м2)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</si>
  <si>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18 по ул. БСадовая 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</si>
  <si>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Площадь нежилых помещений</t>
  </si>
  <si>
    <t>Стоимость работ (жилых помещений)(руб.)/м2 в год</t>
  </si>
  <si>
    <t>в течение действия договора</t>
  </si>
  <si>
    <t>Площадь нежилых помещений МКД</t>
  </si>
  <si>
    <t>Площадь жилых помещений МКД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</si>
</sst>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14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0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9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/>
    <xf numFmtId="0" fontId="9" fillId="0" borderId="0" xfId="0" applyFont="1" applyBorder="1"/>
    <xf numFmtId="0" fontId="0" fillId="0" borderId="0" xfId="0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0" fillId="0" borderId="0" xfId="0" applyFont="1" applyBorder="1" applyAlignment="1">
      <alignment horizontal="center" vertical="center"/>
    </xf>
    <xf numFmtId="44" fontId="11" fillId="0" borderId="0" xfId="1" applyFont="1" applyBorder="1"/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wrapText="1"/>
    </xf>
    <xf numFmtId="0" fontId="8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justify" vertical="top" wrapText="1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16" fontId="4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/>
    </xf>
    <xf numFmtId="2" fontId="11" fillId="0" borderId="0" xfId="0" applyNumberFormat="1" applyFont="1" applyBorder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vertical="top"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vertical="top" wrapText="1"/>
    </xf>
    <xf numFmtId="0" fontId="0" fillId="0" borderId="0" xfId="0" applyAlignment="1">
      <alignment horizontal="right"/>
    </xf>
    <xf numFmtId="0" fontId="4" fillId="0" borderId="9" xfId="0" applyFont="1" applyBorder="1" applyAlignment="1">
      <alignment horizontal="justify" vertical="top" wrapText="1"/>
    </xf>
    <xf numFmtId="0" fontId="4" fillId="0" borderId="10" xfId="0" applyFont="1" applyBorder="1" applyAlignment="1">
      <alignment horizontal="center" wrapText="1"/>
    </xf>
    <xf numFmtId="2" fontId="1" fillId="0" borderId="10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justify" vertical="top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4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2" fontId="0" fillId="0" borderId="1" xfId="0" applyNumberFormat="1" applyFont="1" applyBorder="1"/>
    <xf numFmtId="2" fontId="1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justify" vertical="top" wrapText="1"/>
    </xf>
    <xf numFmtId="2" fontId="1" fillId="0" borderId="4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13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9" xfId="0" applyFont="1" applyBorder="1" applyAlignment="1">
      <alignment horizontal="justify" vertical="top" wrapText="1"/>
    </xf>
    <xf numFmtId="0" fontId="1" fillId="0" borderId="10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  <xf numFmtId="0" fontId="2" fillId="0" borderId="2" xfId="0" applyFont="1" applyBorder="1" applyAlignment="1">
      <alignment wrapText="1"/>
    </xf>
    <xf numFmtId="2" fontId="9" fillId="0" borderId="0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4"/>
  <sheetViews>
    <sheetView topLeftCell="A67" workbookViewId="0">
      <selection activeCell="C80" sqref="C80:D83"/>
    </sheetView>
  </sheetViews>
  <sheetFormatPr defaultRowHeight="15"/>
  <cols>
    <col min="1" max="1" width="93.5703125" customWidth="1"/>
    <col min="2" max="2" width="13" customWidth="1"/>
    <col min="3" max="3" width="12.140625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382</v>
      </c>
      <c r="B2" s="2"/>
      <c r="C2" s="2"/>
      <c r="D2" s="2"/>
    </row>
    <row r="3" spans="1:4">
      <c r="A3" s="1" t="s">
        <v>381</v>
      </c>
      <c r="B3" s="2"/>
      <c r="C3" s="2"/>
      <c r="D3" s="2"/>
    </row>
    <row r="4" spans="1:4">
      <c r="A4" s="25" t="s">
        <v>58</v>
      </c>
      <c r="B4" s="2">
        <v>2001</v>
      </c>
      <c r="C4" s="2"/>
      <c r="D4" s="2"/>
    </row>
    <row r="5" spans="1:4">
      <c r="A5" s="25" t="s">
        <v>59</v>
      </c>
      <c r="B5" s="2">
        <v>5</v>
      </c>
      <c r="C5" s="2"/>
      <c r="D5" s="2"/>
    </row>
    <row r="6" spans="1:4">
      <c r="A6" s="25" t="s">
        <v>60</v>
      </c>
      <c r="B6" s="2">
        <v>3</v>
      </c>
      <c r="C6" s="2"/>
      <c r="D6" s="2"/>
    </row>
    <row r="7" spans="1:4">
      <c r="A7" s="25" t="s">
        <v>61</v>
      </c>
      <c r="B7" s="2">
        <v>45</v>
      </c>
      <c r="C7" s="2"/>
      <c r="D7" s="2"/>
    </row>
    <row r="8" spans="1:4">
      <c r="A8" s="25" t="s">
        <v>72</v>
      </c>
      <c r="B8" s="2">
        <v>3556.5</v>
      </c>
      <c r="C8" s="2"/>
      <c r="D8" s="2"/>
    </row>
    <row r="9" spans="1:4">
      <c r="A9" s="25" t="s">
        <v>62</v>
      </c>
      <c r="B9" s="2">
        <v>347.1</v>
      </c>
      <c r="C9" s="2"/>
      <c r="D9" s="2"/>
    </row>
    <row r="10" spans="1:4">
      <c r="A10" s="25" t="s">
        <v>73</v>
      </c>
      <c r="B10" s="46">
        <v>894.4</v>
      </c>
      <c r="C10" s="2"/>
      <c r="D10" s="2"/>
    </row>
    <row r="11" spans="1:4" ht="36.75">
      <c r="A11" s="147" t="s">
        <v>1</v>
      </c>
      <c r="B11" s="147" t="s">
        <v>2</v>
      </c>
      <c r="C11" s="147" t="s">
        <v>3</v>
      </c>
      <c r="D11" s="147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1.02</v>
      </c>
      <c r="D13" s="163">
        <f>C13*7*B8</f>
        <v>25393.410000000003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103" t="s">
        <v>9</v>
      </c>
      <c r="B15" s="147"/>
      <c r="C15" s="26"/>
      <c r="D15" s="30"/>
    </row>
    <row r="16" spans="1:4">
      <c r="A16" s="103" t="s">
        <v>383</v>
      </c>
      <c r="B16" s="147" t="s">
        <v>88</v>
      </c>
      <c r="C16" s="26">
        <v>0.62</v>
      </c>
      <c r="D16" s="30">
        <f>C16*7*B8</f>
        <v>15435.21</v>
      </c>
    </row>
    <row r="17" spans="1:4">
      <c r="A17" s="103" t="s">
        <v>386</v>
      </c>
      <c r="B17" s="147" t="s">
        <v>88</v>
      </c>
      <c r="C17" s="26">
        <v>1</v>
      </c>
      <c r="D17" s="30">
        <f>C17*7*B8</f>
        <v>24895.5</v>
      </c>
    </row>
    <row r="18" spans="1:4">
      <c r="A18" s="103" t="s">
        <v>384</v>
      </c>
      <c r="B18" s="147" t="s">
        <v>80</v>
      </c>
      <c r="C18" s="26">
        <v>0.28999999999999998</v>
      </c>
      <c r="D18" s="30">
        <f>C18*7*B8</f>
        <v>7219.6949999999997</v>
      </c>
    </row>
    <row r="19" spans="1:4">
      <c r="A19" s="103" t="s">
        <v>385</v>
      </c>
      <c r="B19" s="147" t="s">
        <v>80</v>
      </c>
      <c r="C19" s="26">
        <v>0.81</v>
      </c>
      <c r="D19" s="30">
        <f>C19*7*B8</f>
        <v>20165.355</v>
      </c>
    </row>
    <row r="20" spans="1:4">
      <c r="A20" s="165" t="s">
        <v>10</v>
      </c>
      <c r="B20" s="165"/>
      <c r="C20" s="165"/>
      <c r="D20" s="165"/>
    </row>
    <row r="21" spans="1:4" ht="13.5" customHeight="1">
      <c r="A21" s="39" t="s">
        <v>97</v>
      </c>
      <c r="B21" s="145"/>
      <c r="C21" s="145"/>
      <c r="D21" s="145"/>
    </row>
    <row r="22" spans="1:4" ht="13.5" customHeight="1">
      <c r="A22" s="6" t="s">
        <v>11</v>
      </c>
      <c r="B22" s="147" t="s">
        <v>75</v>
      </c>
      <c r="C22" s="152">
        <v>2.16</v>
      </c>
      <c r="D22" s="166">
        <f>C22*7*B8</f>
        <v>53774.280000000006</v>
      </c>
    </row>
    <row r="23" spans="1:4" ht="12.75" customHeight="1">
      <c r="A23" s="6" t="s">
        <v>12</v>
      </c>
      <c r="B23" s="147" t="s">
        <v>75</v>
      </c>
      <c r="C23" s="152"/>
      <c r="D23" s="155"/>
    </row>
    <row r="24" spans="1:4" ht="14.25" customHeight="1">
      <c r="A24" s="6" t="s">
        <v>13</v>
      </c>
      <c r="B24" s="147" t="s">
        <v>75</v>
      </c>
      <c r="C24" s="152"/>
      <c r="D24" s="155"/>
    </row>
    <row r="25" spans="1:4" ht="13.5" customHeight="1">
      <c r="A25" s="6" t="s">
        <v>14</v>
      </c>
      <c r="B25" s="147" t="s">
        <v>76</v>
      </c>
      <c r="C25" s="152"/>
      <c r="D25" s="155"/>
    </row>
    <row r="26" spans="1:4" ht="12.75" customHeight="1">
      <c r="A26" s="39" t="s">
        <v>93</v>
      </c>
      <c r="B26" s="147"/>
      <c r="C26" s="152"/>
      <c r="D26" s="155"/>
    </row>
    <row r="27" spans="1:4" ht="30" customHeight="1">
      <c r="A27" s="6" t="s">
        <v>15</v>
      </c>
      <c r="B27" s="147" t="s">
        <v>94</v>
      </c>
      <c r="C27" s="152"/>
      <c r="D27" s="156"/>
    </row>
    <row r="28" spans="1:4" ht="12.75" customHeight="1">
      <c r="A28" s="157" t="s">
        <v>16</v>
      </c>
      <c r="B28" s="158"/>
      <c r="C28" s="158"/>
      <c r="D28" s="159"/>
    </row>
    <row r="29" spans="1:4" ht="12" customHeight="1">
      <c r="A29" s="7" t="s">
        <v>17</v>
      </c>
      <c r="B29" s="21" t="s">
        <v>78</v>
      </c>
      <c r="C29" s="152">
        <v>0.2</v>
      </c>
      <c r="D29" s="167">
        <f>C29*B8*7</f>
        <v>4979.1000000000004</v>
      </c>
    </row>
    <row r="30" spans="1:4" ht="12" customHeight="1">
      <c r="A30" s="7" t="s">
        <v>18</v>
      </c>
      <c r="B30" s="21" t="s">
        <v>77</v>
      </c>
      <c r="C30" s="152"/>
      <c r="D30" s="167"/>
    </row>
    <row r="31" spans="1:4" ht="13.5" customHeight="1">
      <c r="A31" s="157" t="s">
        <v>19</v>
      </c>
      <c r="B31" s="158"/>
      <c r="C31" s="158"/>
      <c r="D31" s="159"/>
    </row>
    <row r="32" spans="1:4">
      <c r="A32" s="167" t="s">
        <v>20</v>
      </c>
      <c r="B32" s="167"/>
      <c r="C32" s="167"/>
      <c r="D32" s="167"/>
    </row>
    <row r="33" spans="1:4" ht="37.5" customHeight="1">
      <c r="A33" s="8" t="s">
        <v>21</v>
      </c>
      <c r="B33" s="22" t="s">
        <v>79</v>
      </c>
      <c r="C33" s="152">
        <v>0.79</v>
      </c>
      <c r="D33" s="154">
        <f>C33*B8*7</f>
        <v>19667.445</v>
      </c>
    </row>
    <row r="34" spans="1:4" ht="15" customHeight="1">
      <c r="A34" s="9" t="s">
        <v>23</v>
      </c>
      <c r="B34" s="23" t="s">
        <v>80</v>
      </c>
      <c r="C34" s="152"/>
      <c r="D34" s="155"/>
    </row>
    <row r="35" spans="1:4" ht="13.5" customHeight="1">
      <c r="A35" s="9" t="s">
        <v>25</v>
      </c>
      <c r="B35" s="23" t="s">
        <v>80</v>
      </c>
      <c r="C35" s="152"/>
      <c r="D35" s="155"/>
    </row>
    <row r="36" spans="1:4" ht="36" customHeight="1">
      <c r="A36" s="9" t="s">
        <v>26</v>
      </c>
      <c r="B36" s="22" t="s">
        <v>22</v>
      </c>
      <c r="C36" s="152"/>
      <c r="D36" s="155"/>
    </row>
    <row r="37" spans="1:4" ht="14.25" customHeight="1">
      <c r="A37" s="9" t="s">
        <v>27</v>
      </c>
      <c r="B37" s="22" t="s">
        <v>24</v>
      </c>
      <c r="C37" s="152"/>
      <c r="D37" s="155"/>
    </row>
    <row r="38" spans="1:4" ht="33.75" customHeight="1">
      <c r="A38" s="24" t="s">
        <v>28</v>
      </c>
      <c r="B38" s="22" t="s">
        <v>22</v>
      </c>
      <c r="C38" s="153"/>
      <c r="D38" s="156"/>
    </row>
    <row r="39" spans="1:4" ht="15.75" customHeight="1">
      <c r="A39" s="167" t="s">
        <v>65</v>
      </c>
      <c r="B39" s="167"/>
      <c r="C39" s="167"/>
      <c r="D39" s="167"/>
    </row>
    <row r="40" spans="1:4" ht="36.75" customHeight="1">
      <c r="A40" s="9" t="s">
        <v>66</v>
      </c>
      <c r="B40" s="22" t="s">
        <v>79</v>
      </c>
      <c r="C40" s="154">
        <v>1.29</v>
      </c>
      <c r="D40" s="152">
        <f>C40*7*B8</f>
        <v>32115.195000000003</v>
      </c>
    </row>
    <row r="41" spans="1:4" ht="14.25" customHeight="1">
      <c r="A41" s="9" t="s">
        <v>67</v>
      </c>
      <c r="B41" s="22" t="s">
        <v>80</v>
      </c>
      <c r="C41" s="154"/>
      <c r="D41" s="168"/>
    </row>
    <row r="42" spans="1:4" ht="14.25" customHeight="1">
      <c r="A42" s="9" t="s">
        <v>68</v>
      </c>
      <c r="B42" s="22" t="s">
        <v>80</v>
      </c>
      <c r="C42" s="154"/>
      <c r="D42" s="168"/>
    </row>
    <row r="43" spans="1:4" ht="24" customHeight="1">
      <c r="A43" s="9" t="s">
        <v>69</v>
      </c>
      <c r="B43" s="22" t="s">
        <v>79</v>
      </c>
      <c r="C43" s="154"/>
      <c r="D43" s="168"/>
    </row>
    <row r="44" spans="1:4" ht="25.5" customHeight="1">
      <c r="A44" s="10" t="s">
        <v>70</v>
      </c>
      <c r="B44" s="22" t="s">
        <v>79</v>
      </c>
      <c r="C44" s="154"/>
      <c r="D44" s="168"/>
    </row>
    <row r="45" spans="1:4" ht="14.25" customHeight="1">
      <c r="A45" s="9" t="s">
        <v>71</v>
      </c>
      <c r="B45" s="22" t="s">
        <v>24</v>
      </c>
      <c r="C45" s="154"/>
      <c r="D45" s="162"/>
    </row>
    <row r="46" spans="1:4" ht="11.25" customHeight="1">
      <c r="A46" s="169" t="s">
        <v>29</v>
      </c>
      <c r="B46" s="169"/>
      <c r="C46" s="169"/>
      <c r="D46" s="169"/>
    </row>
    <row r="47" spans="1:4" ht="35.25" customHeight="1">
      <c r="A47" s="9" t="s">
        <v>30</v>
      </c>
      <c r="B47" s="22" t="s">
        <v>22</v>
      </c>
      <c r="C47" s="154">
        <v>0.91</v>
      </c>
      <c r="D47" s="152">
        <f>C47*7*B8</f>
        <v>22654.904999999999</v>
      </c>
    </row>
    <row r="48" spans="1:4" ht="38.25" customHeight="1">
      <c r="A48" s="9" t="s">
        <v>31</v>
      </c>
      <c r="B48" s="22" t="s">
        <v>22</v>
      </c>
      <c r="C48" s="154"/>
      <c r="D48" s="152"/>
    </row>
    <row r="49" spans="1:4" ht="15" customHeight="1">
      <c r="A49" s="10" t="s">
        <v>32</v>
      </c>
      <c r="B49" s="22" t="s">
        <v>22</v>
      </c>
      <c r="C49" s="154"/>
      <c r="D49" s="152"/>
    </row>
    <row r="50" spans="1:4" ht="12.75" customHeight="1">
      <c r="A50" s="167" t="s">
        <v>33</v>
      </c>
      <c r="B50" s="167"/>
      <c r="C50" s="167"/>
      <c r="D50" s="167"/>
    </row>
    <row r="51" spans="1:4" ht="29.25" customHeight="1">
      <c r="A51" s="9" t="s">
        <v>34</v>
      </c>
      <c r="B51" s="22" t="s">
        <v>77</v>
      </c>
      <c r="C51" s="154">
        <f>2.65-0.29</f>
        <v>2.36</v>
      </c>
      <c r="D51" s="154">
        <f>C51*7*B8</f>
        <v>58753.38</v>
      </c>
    </row>
    <row r="52" spans="1:4" ht="14.25" customHeight="1">
      <c r="A52" s="9" t="s">
        <v>35</v>
      </c>
      <c r="B52" s="22" t="s">
        <v>81</v>
      </c>
      <c r="C52" s="154"/>
      <c r="D52" s="154"/>
    </row>
    <row r="53" spans="1:4" ht="17.25" customHeight="1">
      <c r="A53" s="9" t="s">
        <v>36</v>
      </c>
      <c r="B53" s="22" t="s">
        <v>81</v>
      </c>
      <c r="C53" s="154"/>
      <c r="D53" s="154"/>
    </row>
    <row r="54" spans="1:4" ht="24.75" customHeight="1">
      <c r="A54" s="9" t="s">
        <v>37</v>
      </c>
      <c r="B54" s="22" t="s">
        <v>82</v>
      </c>
      <c r="C54" s="154"/>
      <c r="D54" s="154"/>
    </row>
    <row r="55" spans="1:4" ht="30" customHeight="1">
      <c r="A55" s="9" t="s">
        <v>38</v>
      </c>
      <c r="B55" s="22" t="s">
        <v>82</v>
      </c>
      <c r="C55" s="154"/>
      <c r="D55" s="154"/>
    </row>
    <row r="56" spans="1:4" ht="12.75" customHeight="1">
      <c r="A56" s="145" t="s">
        <v>95</v>
      </c>
      <c r="B56" s="6"/>
      <c r="C56" s="154"/>
      <c r="D56" s="154"/>
    </row>
    <row r="57" spans="1:4" ht="35.25" customHeight="1">
      <c r="A57" s="9" t="s">
        <v>40</v>
      </c>
      <c r="B57" s="22" t="s">
        <v>79</v>
      </c>
      <c r="C57" s="154"/>
      <c r="D57" s="154"/>
    </row>
    <row r="58" spans="1:4" ht="14.25" customHeight="1">
      <c r="A58" s="9" t="s">
        <v>41</v>
      </c>
      <c r="B58" s="22" t="s">
        <v>24</v>
      </c>
      <c r="C58" s="154"/>
      <c r="D58" s="154"/>
    </row>
    <row r="59" spans="1:4" ht="14.25" customHeight="1">
      <c r="A59" s="9" t="s">
        <v>42</v>
      </c>
      <c r="B59" s="23" t="s">
        <v>24</v>
      </c>
      <c r="C59" s="154"/>
      <c r="D59" s="154"/>
    </row>
    <row r="60" spans="1:4" ht="13.5" customHeight="1">
      <c r="A60" s="9" t="s">
        <v>43</v>
      </c>
      <c r="B60" s="23" t="s">
        <v>24</v>
      </c>
      <c r="C60" s="154"/>
      <c r="D60" s="154"/>
    </row>
    <row r="61" spans="1:4" ht="13.5" customHeight="1">
      <c r="A61" s="9" t="s">
        <v>44</v>
      </c>
      <c r="B61" s="21" t="s">
        <v>146</v>
      </c>
      <c r="C61" s="154"/>
      <c r="D61" s="154"/>
    </row>
    <row r="62" spans="1:4" ht="36.75" customHeight="1">
      <c r="A62" s="10" t="s">
        <v>45</v>
      </c>
      <c r="B62" s="22" t="s">
        <v>22</v>
      </c>
      <c r="C62" s="154"/>
      <c r="D62" s="154"/>
    </row>
    <row r="63" spans="1:4">
      <c r="A63" s="167" t="s">
        <v>46</v>
      </c>
      <c r="B63" s="167"/>
      <c r="C63" s="167"/>
      <c r="D63" s="167"/>
    </row>
    <row r="64" spans="1:4" ht="15.75" customHeight="1">
      <c r="A64" s="9" t="s">
        <v>47</v>
      </c>
      <c r="B64" s="22" t="s">
        <v>83</v>
      </c>
      <c r="C64" s="152">
        <v>1.27</v>
      </c>
      <c r="D64" s="154">
        <f>C64*B8*7</f>
        <v>31617.285</v>
      </c>
    </row>
    <row r="65" spans="1:4" ht="12.75" customHeight="1">
      <c r="A65" s="9" t="s">
        <v>48</v>
      </c>
      <c r="B65" s="22" t="s">
        <v>83</v>
      </c>
      <c r="C65" s="152"/>
      <c r="D65" s="154"/>
    </row>
    <row r="66" spans="1:4" ht="24.75" customHeight="1">
      <c r="A66" s="9" t="s">
        <v>49</v>
      </c>
      <c r="B66" s="22" t="s">
        <v>83</v>
      </c>
      <c r="C66" s="152"/>
      <c r="D66" s="154"/>
    </row>
    <row r="67" spans="1:4" ht="16.5" customHeight="1">
      <c r="A67" s="9" t="s">
        <v>50</v>
      </c>
      <c r="B67" s="22" t="s">
        <v>83</v>
      </c>
      <c r="C67" s="152"/>
      <c r="D67" s="154"/>
    </row>
    <row r="68" spans="1:4" ht="39.75" customHeight="1">
      <c r="A68" s="10" t="s">
        <v>51</v>
      </c>
      <c r="B68" s="22" t="s">
        <v>22</v>
      </c>
      <c r="C68" s="152"/>
      <c r="D68" s="154"/>
    </row>
    <row r="69" spans="1:4" ht="16.5" customHeight="1">
      <c r="A69" s="10" t="s">
        <v>52</v>
      </c>
      <c r="B69" s="23" t="s">
        <v>84</v>
      </c>
      <c r="C69" s="152"/>
      <c r="D69" s="154"/>
    </row>
    <row r="70" spans="1:4">
      <c r="A70" s="157" t="s">
        <v>85</v>
      </c>
      <c r="B70" s="158"/>
      <c r="C70" s="158"/>
      <c r="D70" s="159"/>
    </row>
    <row r="71" spans="1:4" ht="26.25" customHeight="1">
      <c r="A71" s="175" t="s">
        <v>96</v>
      </c>
      <c r="B71" s="177" t="s">
        <v>86</v>
      </c>
      <c r="C71" s="152">
        <v>2.41</v>
      </c>
      <c r="D71" s="154">
        <f>C71*B8*7</f>
        <v>59998.155000000006</v>
      </c>
    </row>
    <row r="72" spans="1:4" ht="13.5" customHeight="1">
      <c r="A72" s="176"/>
      <c r="B72" s="177"/>
      <c r="C72" s="152"/>
      <c r="D72" s="154"/>
    </row>
    <row r="73" spans="1:4" ht="15" customHeight="1">
      <c r="A73" s="157" t="s">
        <v>55</v>
      </c>
      <c r="B73" s="158"/>
      <c r="C73" s="158"/>
      <c r="D73" s="159"/>
    </row>
    <row r="74" spans="1:4" ht="16.5" customHeight="1">
      <c r="A74" s="6" t="s">
        <v>90</v>
      </c>
      <c r="B74" s="21" t="s">
        <v>87</v>
      </c>
      <c r="C74" s="170">
        <v>2.14</v>
      </c>
      <c r="D74" s="172">
        <v>53276.3</v>
      </c>
    </row>
    <row r="75" spans="1:4">
      <c r="A75" s="6" t="s">
        <v>91</v>
      </c>
      <c r="B75" s="21" t="s">
        <v>87</v>
      </c>
      <c r="C75" s="171"/>
      <c r="D75" s="173"/>
    </row>
    <row r="76" spans="1:4" ht="15" customHeight="1">
      <c r="A76" s="6" t="s">
        <v>92</v>
      </c>
      <c r="B76" s="21" t="s">
        <v>87</v>
      </c>
      <c r="C76" s="169"/>
      <c r="D76" s="174"/>
    </row>
    <row r="77" spans="1:4" ht="38.25" customHeight="1">
      <c r="A77" s="6" t="s">
        <v>143</v>
      </c>
      <c r="B77" s="22" t="s">
        <v>22</v>
      </c>
      <c r="C77" s="146">
        <v>4.3499999999999996</v>
      </c>
      <c r="D77" s="146">
        <v>106025.32</v>
      </c>
    </row>
    <row r="78" spans="1:4" ht="18" customHeight="1">
      <c r="A78" s="6" t="s">
        <v>387</v>
      </c>
      <c r="B78" s="22"/>
      <c r="C78" s="146"/>
      <c r="D78" s="146">
        <f>-7897.69</f>
        <v>-7897.69</v>
      </c>
    </row>
    <row r="79" spans="1:4">
      <c r="A79" s="145" t="s">
        <v>56</v>
      </c>
      <c r="B79" s="23"/>
      <c r="C79" s="28">
        <f>C77+C74+C71+C64+C51+C47+C40+C33+C29+C22+C19+C18+C17+C16+C13</f>
        <v>21.619999999999997</v>
      </c>
      <c r="D79" s="28">
        <f>D77+D74+D71+D64+D51+D47+D40+D33+D29+D22+D19+D18+D17+D16+D13+D78</f>
        <v>528072.84500000009</v>
      </c>
    </row>
    <row r="80" spans="1:4">
      <c r="D80" s="40"/>
    </row>
    <row r="81" spans="4:4">
      <c r="D81" s="40"/>
    </row>
    <row r="82" spans="4:4">
      <c r="D82" s="40"/>
    </row>
    <row r="83" spans="4:4">
      <c r="D83" s="40"/>
    </row>
    <row r="84" spans="4:4">
      <c r="D84" s="40"/>
    </row>
  </sheetData>
  <mergeCells count="34">
    <mergeCell ref="C74:C76"/>
    <mergeCell ref="D74:D76"/>
    <mergeCell ref="A70:D70"/>
    <mergeCell ref="A71:A72"/>
    <mergeCell ref="B71:B72"/>
    <mergeCell ref="C71:C72"/>
    <mergeCell ref="D71:D72"/>
    <mergeCell ref="A73:D73"/>
    <mergeCell ref="A50:D50"/>
    <mergeCell ref="C51:C62"/>
    <mergeCell ref="D51:D62"/>
    <mergeCell ref="A63:D63"/>
    <mergeCell ref="C64:C69"/>
    <mergeCell ref="D64:D69"/>
    <mergeCell ref="A39:D39"/>
    <mergeCell ref="C40:C45"/>
    <mergeCell ref="D40:D45"/>
    <mergeCell ref="A46:D46"/>
    <mergeCell ref="C47:C49"/>
    <mergeCell ref="D47:D49"/>
    <mergeCell ref="C33:C38"/>
    <mergeCell ref="D33:D38"/>
    <mergeCell ref="A12:D12"/>
    <mergeCell ref="B13:B14"/>
    <mergeCell ref="C13:C14"/>
    <mergeCell ref="D13:D14"/>
    <mergeCell ref="A20:D20"/>
    <mergeCell ref="C22:C27"/>
    <mergeCell ref="D22:D27"/>
    <mergeCell ref="A28:D28"/>
    <mergeCell ref="C29:C30"/>
    <mergeCell ref="D29:D30"/>
    <mergeCell ref="A31:D31"/>
    <mergeCell ref="A32:D3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7"/>
  <sheetViews>
    <sheetView topLeftCell="A65" workbookViewId="0">
      <selection activeCell="E70" sqref="E70:F80"/>
    </sheetView>
  </sheetViews>
  <sheetFormatPr defaultRowHeight="15"/>
  <cols>
    <col min="1" max="1" width="92.85546875" customWidth="1"/>
    <col min="2" max="2" width="12.140625" customWidth="1"/>
    <col min="3" max="3" width="9" customWidth="1"/>
    <col min="4" max="4" width="9.85546875" customWidth="1"/>
    <col min="5" max="5" width="9.140625" hidden="1" customWidth="1"/>
  </cols>
  <sheetData>
    <row r="1" spans="1:5">
      <c r="A1" s="1" t="s">
        <v>0</v>
      </c>
      <c r="B1" s="2"/>
      <c r="C1" s="2"/>
      <c r="D1" s="2" t="s">
        <v>64</v>
      </c>
    </row>
    <row r="2" spans="1:5">
      <c r="A2" s="1" t="s">
        <v>388</v>
      </c>
      <c r="B2" s="2"/>
      <c r="C2" s="2"/>
      <c r="D2" s="2"/>
    </row>
    <row r="3" spans="1:5">
      <c r="A3" s="1" t="s">
        <v>381</v>
      </c>
      <c r="B3" s="2"/>
      <c r="C3" s="2"/>
      <c r="D3" s="2"/>
    </row>
    <row r="4" spans="1:5">
      <c r="A4" s="25" t="s">
        <v>58</v>
      </c>
      <c r="B4" s="2">
        <v>2008</v>
      </c>
      <c r="C4" s="2"/>
      <c r="D4" s="2"/>
    </row>
    <row r="5" spans="1:5">
      <c r="A5" s="25" t="s">
        <v>59</v>
      </c>
      <c r="B5" s="2">
        <v>6</v>
      </c>
      <c r="C5" s="2"/>
      <c r="D5" s="2"/>
    </row>
    <row r="6" spans="1:5">
      <c r="A6" s="25" t="s">
        <v>60</v>
      </c>
      <c r="B6" s="2">
        <v>1</v>
      </c>
      <c r="C6" s="2"/>
      <c r="D6" s="2"/>
    </row>
    <row r="7" spans="1:5">
      <c r="A7" s="25" t="s">
        <v>61</v>
      </c>
      <c r="B7" s="2">
        <v>22</v>
      </c>
      <c r="C7" s="2"/>
      <c r="D7" s="2"/>
    </row>
    <row r="8" spans="1:5">
      <c r="A8" s="25" t="s">
        <v>72</v>
      </c>
      <c r="B8" s="2">
        <v>1814.1</v>
      </c>
      <c r="C8" s="2"/>
      <c r="D8" s="2"/>
      <c r="E8">
        <f>B10+B8</f>
        <v>2494.6</v>
      </c>
    </row>
    <row r="9" spans="1:5">
      <c r="A9" s="25" t="s">
        <v>62</v>
      </c>
      <c r="B9" s="2">
        <v>278</v>
      </c>
      <c r="C9" s="2"/>
      <c r="D9" s="2"/>
    </row>
    <row r="10" spans="1:5">
      <c r="A10" s="25" t="s">
        <v>389</v>
      </c>
      <c r="B10" s="2">
        <v>680.5</v>
      </c>
      <c r="C10" s="2"/>
      <c r="D10" s="2"/>
    </row>
    <row r="11" spans="1:5">
      <c r="A11" s="25" t="s">
        <v>73</v>
      </c>
      <c r="B11" s="46" t="s">
        <v>100</v>
      </c>
      <c r="C11" s="2"/>
      <c r="D11" s="2"/>
    </row>
    <row r="12" spans="1:5" ht="72.75">
      <c r="A12" s="142" t="s">
        <v>1</v>
      </c>
      <c r="B12" s="142" t="s">
        <v>2</v>
      </c>
      <c r="C12" s="148" t="s">
        <v>3</v>
      </c>
      <c r="D12" s="148" t="s">
        <v>390</v>
      </c>
    </row>
    <row r="13" spans="1:5">
      <c r="A13" s="157" t="s">
        <v>5</v>
      </c>
      <c r="B13" s="158"/>
      <c r="C13" s="158"/>
      <c r="D13" s="159"/>
    </row>
    <row r="14" spans="1:5" ht="88.5" customHeight="1">
      <c r="A14" s="104" t="s">
        <v>6</v>
      </c>
      <c r="B14" s="160" t="s">
        <v>391</v>
      </c>
      <c r="C14" s="153">
        <v>0.52</v>
      </c>
      <c r="D14" s="163">
        <f>C14*7*E8</f>
        <v>9080.3439999999991</v>
      </c>
    </row>
    <row r="15" spans="1:5" ht="75.75" customHeight="1">
      <c r="A15" s="103" t="s">
        <v>89</v>
      </c>
      <c r="B15" s="161"/>
      <c r="C15" s="162"/>
      <c r="D15" s="164"/>
      <c r="E15">
        <f>C14*7*E8</f>
        <v>9080.3439999999991</v>
      </c>
    </row>
    <row r="16" spans="1:5">
      <c r="A16" s="103" t="s">
        <v>9</v>
      </c>
      <c r="B16" s="142"/>
      <c r="C16" s="26"/>
      <c r="D16" s="30"/>
    </row>
    <row r="17" spans="1:5">
      <c r="A17" s="103" t="s">
        <v>379</v>
      </c>
      <c r="B17" s="142" t="s">
        <v>80</v>
      </c>
      <c r="C17" s="26">
        <v>1.5</v>
      </c>
      <c r="D17" s="30">
        <f>C17*7*E8</f>
        <v>26193.3</v>
      </c>
      <c r="E17">
        <f>C17*E8*7</f>
        <v>26193.299999999996</v>
      </c>
    </row>
    <row r="18" spans="1:5">
      <c r="A18" s="103" t="s">
        <v>372</v>
      </c>
      <c r="B18" s="142" t="s">
        <v>80</v>
      </c>
      <c r="C18" s="26">
        <v>2</v>
      </c>
      <c r="D18" s="30">
        <f>C18*7*E8</f>
        <v>34924.400000000001</v>
      </c>
      <c r="E18">
        <f>C18*7*E8</f>
        <v>34924.400000000001</v>
      </c>
    </row>
    <row r="19" spans="1:5">
      <c r="A19" s="103" t="s">
        <v>373</v>
      </c>
      <c r="B19" s="142" t="s">
        <v>80</v>
      </c>
      <c r="C19" s="26">
        <v>0.9</v>
      </c>
      <c r="D19" s="30">
        <f>C19*7*E8</f>
        <v>15715.98</v>
      </c>
      <c r="E19">
        <f>C19*7*E8</f>
        <v>15715.98</v>
      </c>
    </row>
    <row r="20" spans="1:5">
      <c r="A20" s="103" t="s">
        <v>377</v>
      </c>
      <c r="B20" s="142" t="s">
        <v>80</v>
      </c>
      <c r="C20" s="26">
        <v>0.15</v>
      </c>
      <c r="D20" s="30">
        <f>C20*7*E8</f>
        <v>2619.33</v>
      </c>
      <c r="E20">
        <f>C20*7*E8</f>
        <v>2619.33</v>
      </c>
    </row>
    <row r="21" spans="1:5">
      <c r="A21" s="103" t="s">
        <v>378</v>
      </c>
      <c r="B21" s="142" t="s">
        <v>80</v>
      </c>
      <c r="C21" s="26">
        <v>0.45</v>
      </c>
      <c r="D21" s="30">
        <f>C21*7*E8</f>
        <v>7857.99</v>
      </c>
      <c r="E21">
        <f>C21*7*E8</f>
        <v>7857.99</v>
      </c>
    </row>
    <row r="22" spans="1:5">
      <c r="A22" s="165" t="s">
        <v>10</v>
      </c>
      <c r="B22" s="165"/>
      <c r="C22" s="165"/>
      <c r="D22" s="165"/>
    </row>
    <row r="23" spans="1:5" ht="13.5" customHeight="1">
      <c r="A23" s="39" t="s">
        <v>97</v>
      </c>
      <c r="B23" s="144"/>
      <c r="C23" s="144"/>
      <c r="D23" s="144"/>
    </row>
    <row r="24" spans="1:5" ht="13.5" customHeight="1">
      <c r="A24" s="6" t="s">
        <v>11</v>
      </c>
      <c r="B24" s="142" t="s">
        <v>75</v>
      </c>
      <c r="C24" s="152">
        <v>2.16</v>
      </c>
      <c r="D24" s="166">
        <f>C24*7*E8</f>
        <v>37718.351999999999</v>
      </c>
    </row>
    <row r="25" spans="1:5" ht="12.75" customHeight="1">
      <c r="A25" s="6" t="s">
        <v>12</v>
      </c>
      <c r="B25" s="142" t="s">
        <v>75</v>
      </c>
      <c r="C25" s="152"/>
      <c r="D25" s="155"/>
    </row>
    <row r="26" spans="1:5" ht="14.25" customHeight="1">
      <c r="A26" s="6" t="s">
        <v>13</v>
      </c>
      <c r="B26" s="142" t="s">
        <v>75</v>
      </c>
      <c r="C26" s="152"/>
      <c r="D26" s="155"/>
    </row>
    <row r="27" spans="1:5" ht="13.5" customHeight="1">
      <c r="A27" s="6" t="s">
        <v>14</v>
      </c>
      <c r="B27" s="142" t="s">
        <v>76</v>
      </c>
      <c r="C27" s="152"/>
      <c r="D27" s="155"/>
    </row>
    <row r="28" spans="1:5" ht="12.75" customHeight="1">
      <c r="A28" s="39" t="s">
        <v>93</v>
      </c>
      <c r="B28" s="142"/>
      <c r="C28" s="152"/>
      <c r="D28" s="155"/>
    </row>
    <row r="29" spans="1:5" ht="30" customHeight="1">
      <c r="A29" s="6" t="s">
        <v>15</v>
      </c>
      <c r="B29" s="142" t="s">
        <v>94</v>
      </c>
      <c r="C29" s="152"/>
      <c r="D29" s="156"/>
      <c r="E29">
        <f>C24*7*E8</f>
        <v>37718.351999999999</v>
      </c>
    </row>
    <row r="30" spans="1:5" ht="12.75" customHeight="1">
      <c r="A30" s="157" t="s">
        <v>16</v>
      </c>
      <c r="B30" s="158"/>
      <c r="C30" s="158"/>
      <c r="D30" s="159"/>
    </row>
    <row r="31" spans="1:5" ht="12" customHeight="1">
      <c r="A31" s="7" t="s">
        <v>17</v>
      </c>
      <c r="B31" s="21" t="s">
        <v>78</v>
      </c>
      <c r="C31" s="152">
        <v>0.2</v>
      </c>
      <c r="D31" s="167">
        <f>C31*E8*7</f>
        <v>3492.44</v>
      </c>
    </row>
    <row r="32" spans="1:5" ht="12" customHeight="1">
      <c r="A32" s="7" t="s">
        <v>18</v>
      </c>
      <c r="B32" s="21" t="s">
        <v>77</v>
      </c>
      <c r="C32" s="152"/>
      <c r="D32" s="167"/>
      <c r="E32">
        <f>C31*7*E8</f>
        <v>3492.44</v>
      </c>
    </row>
    <row r="33" spans="1:5" ht="13.5" customHeight="1">
      <c r="A33" s="157" t="s">
        <v>19</v>
      </c>
      <c r="B33" s="158"/>
      <c r="C33" s="158"/>
      <c r="D33" s="159"/>
    </row>
    <row r="34" spans="1:5">
      <c r="A34" s="167" t="s">
        <v>20</v>
      </c>
      <c r="B34" s="167"/>
      <c r="C34" s="167"/>
      <c r="D34" s="167"/>
    </row>
    <row r="35" spans="1:5" ht="37.5" customHeight="1">
      <c r="A35" s="8" t="s">
        <v>21</v>
      </c>
      <c r="B35" s="22" t="s">
        <v>79</v>
      </c>
      <c r="C35" s="152">
        <v>0.67</v>
      </c>
      <c r="D35" s="154">
        <f>C35*E8*7</f>
        <v>11699.674000000001</v>
      </c>
    </row>
    <row r="36" spans="1:5" ht="15" customHeight="1">
      <c r="A36" s="9" t="s">
        <v>23</v>
      </c>
      <c r="B36" s="23" t="s">
        <v>80</v>
      </c>
      <c r="C36" s="152"/>
      <c r="D36" s="155"/>
    </row>
    <row r="37" spans="1:5" ht="13.5" customHeight="1">
      <c r="A37" s="9" t="s">
        <v>25</v>
      </c>
      <c r="B37" s="23" t="s">
        <v>80</v>
      </c>
      <c r="C37" s="152"/>
      <c r="D37" s="155"/>
    </row>
    <row r="38" spans="1:5" ht="36" customHeight="1">
      <c r="A38" s="9" t="s">
        <v>26</v>
      </c>
      <c r="B38" s="22" t="s">
        <v>22</v>
      </c>
      <c r="C38" s="152"/>
      <c r="D38" s="155"/>
    </row>
    <row r="39" spans="1:5" ht="14.25" customHeight="1">
      <c r="A39" s="9" t="s">
        <v>27</v>
      </c>
      <c r="B39" s="22" t="s">
        <v>24</v>
      </c>
      <c r="C39" s="152"/>
      <c r="D39" s="155"/>
    </row>
    <row r="40" spans="1:5" ht="33.75" customHeight="1">
      <c r="A40" s="24" t="s">
        <v>28</v>
      </c>
      <c r="B40" s="22" t="s">
        <v>22</v>
      </c>
      <c r="C40" s="153"/>
      <c r="D40" s="156"/>
      <c r="E40">
        <f>C35*7*E8</f>
        <v>11699.674000000001</v>
      </c>
    </row>
    <row r="41" spans="1:5" ht="15.75" customHeight="1">
      <c r="A41" s="167" t="s">
        <v>65</v>
      </c>
      <c r="B41" s="167"/>
      <c r="C41" s="167"/>
      <c r="D41" s="167"/>
    </row>
    <row r="42" spans="1:5" ht="36.75" customHeight="1">
      <c r="A42" s="9" t="s">
        <v>66</v>
      </c>
      <c r="B42" s="22" t="s">
        <v>79</v>
      </c>
      <c r="C42" s="154">
        <v>0.15</v>
      </c>
      <c r="D42" s="152">
        <f>C42*7*E8</f>
        <v>2619.33</v>
      </c>
    </row>
    <row r="43" spans="1:5" ht="14.25" customHeight="1">
      <c r="A43" s="9" t="s">
        <v>67</v>
      </c>
      <c r="B43" s="22" t="s">
        <v>80</v>
      </c>
      <c r="C43" s="154"/>
      <c r="D43" s="168"/>
    </row>
    <row r="44" spans="1:5" ht="14.25" customHeight="1">
      <c r="A44" s="9" t="s">
        <v>68</v>
      </c>
      <c r="B44" s="22" t="s">
        <v>80</v>
      </c>
      <c r="C44" s="154"/>
      <c r="D44" s="168"/>
    </row>
    <row r="45" spans="1:5" ht="24" customHeight="1">
      <c r="A45" s="9" t="s">
        <v>69</v>
      </c>
      <c r="B45" s="22" t="s">
        <v>79</v>
      </c>
      <c r="C45" s="154"/>
      <c r="D45" s="168"/>
    </row>
    <row r="46" spans="1:5" ht="25.5" customHeight="1">
      <c r="A46" s="10" t="s">
        <v>70</v>
      </c>
      <c r="B46" s="22" t="s">
        <v>79</v>
      </c>
      <c r="C46" s="154"/>
      <c r="D46" s="168"/>
    </row>
    <row r="47" spans="1:5" ht="14.25" customHeight="1">
      <c r="A47" s="9" t="s">
        <v>71</v>
      </c>
      <c r="B47" s="22" t="s">
        <v>24</v>
      </c>
      <c r="C47" s="154"/>
      <c r="D47" s="162"/>
      <c r="E47">
        <f>C42*7*E8</f>
        <v>2619.33</v>
      </c>
    </row>
    <row r="48" spans="1:5" ht="11.25" customHeight="1">
      <c r="A48" s="169" t="s">
        <v>29</v>
      </c>
      <c r="B48" s="169"/>
      <c r="C48" s="169"/>
      <c r="D48" s="169"/>
    </row>
    <row r="49" spans="1:5" ht="35.25" customHeight="1">
      <c r="A49" s="9" t="s">
        <v>30</v>
      </c>
      <c r="B49" s="22" t="s">
        <v>22</v>
      </c>
      <c r="C49" s="154">
        <v>0.15</v>
      </c>
      <c r="D49" s="152">
        <f>C49*7*E8</f>
        <v>2619.33</v>
      </c>
    </row>
    <row r="50" spans="1:5" ht="38.25" customHeight="1">
      <c r="A50" s="9" t="s">
        <v>31</v>
      </c>
      <c r="B50" s="22" t="s">
        <v>22</v>
      </c>
      <c r="C50" s="154"/>
      <c r="D50" s="152"/>
    </row>
    <row r="51" spans="1:5" ht="15" customHeight="1">
      <c r="A51" s="10" t="s">
        <v>32</v>
      </c>
      <c r="B51" s="22" t="s">
        <v>22</v>
      </c>
      <c r="C51" s="154"/>
      <c r="D51" s="152"/>
      <c r="E51">
        <f>C49*7*E8</f>
        <v>2619.33</v>
      </c>
    </row>
    <row r="52" spans="1:5" ht="12.75" customHeight="1">
      <c r="A52" s="167" t="s">
        <v>33</v>
      </c>
      <c r="B52" s="167"/>
      <c r="C52" s="167"/>
      <c r="D52" s="167"/>
    </row>
    <row r="53" spans="1:5" ht="29.25" customHeight="1">
      <c r="A53" s="9" t="s">
        <v>34</v>
      </c>
      <c r="B53" s="22" t="s">
        <v>77</v>
      </c>
      <c r="C53" s="154">
        <v>0.15</v>
      </c>
      <c r="D53" s="154">
        <f>C53*7*E8</f>
        <v>2619.33</v>
      </c>
    </row>
    <row r="54" spans="1:5" ht="14.25" customHeight="1">
      <c r="A54" s="9" t="s">
        <v>35</v>
      </c>
      <c r="B54" s="22" t="s">
        <v>81</v>
      </c>
      <c r="C54" s="154"/>
      <c r="D54" s="154"/>
    </row>
    <row r="55" spans="1:5" ht="17.25" customHeight="1">
      <c r="A55" s="9" t="s">
        <v>36</v>
      </c>
      <c r="B55" s="22" t="s">
        <v>81</v>
      </c>
      <c r="C55" s="154"/>
      <c r="D55" s="154"/>
    </row>
    <row r="56" spans="1:5" ht="24.75" customHeight="1">
      <c r="A56" s="9" t="s">
        <v>37</v>
      </c>
      <c r="B56" s="22" t="s">
        <v>82</v>
      </c>
      <c r="C56" s="154"/>
      <c r="D56" s="154"/>
    </row>
    <row r="57" spans="1:5" ht="30" customHeight="1">
      <c r="A57" s="9" t="s">
        <v>38</v>
      </c>
      <c r="B57" s="22" t="s">
        <v>82</v>
      </c>
      <c r="C57" s="154"/>
      <c r="D57" s="154"/>
    </row>
    <row r="58" spans="1:5" ht="12.75" customHeight="1">
      <c r="A58" s="144" t="s">
        <v>95</v>
      </c>
      <c r="B58" s="6"/>
      <c r="C58" s="154"/>
      <c r="D58" s="154"/>
    </row>
    <row r="59" spans="1:5" ht="35.25" customHeight="1">
      <c r="A59" s="9" t="s">
        <v>40</v>
      </c>
      <c r="B59" s="22" t="s">
        <v>79</v>
      </c>
      <c r="C59" s="154"/>
      <c r="D59" s="154"/>
    </row>
    <row r="60" spans="1:5" ht="14.25" customHeight="1">
      <c r="A60" s="9" t="s">
        <v>41</v>
      </c>
      <c r="B60" s="22" t="s">
        <v>24</v>
      </c>
      <c r="C60" s="154"/>
      <c r="D60" s="154"/>
    </row>
    <row r="61" spans="1:5" ht="14.25" customHeight="1">
      <c r="A61" s="9" t="s">
        <v>42</v>
      </c>
      <c r="B61" s="23" t="s">
        <v>24</v>
      </c>
      <c r="C61" s="154"/>
      <c r="D61" s="154"/>
    </row>
    <row r="62" spans="1:5" ht="13.5" customHeight="1">
      <c r="A62" s="9" t="s">
        <v>43</v>
      </c>
      <c r="B62" s="23" t="s">
        <v>24</v>
      </c>
      <c r="C62" s="154"/>
      <c r="D62" s="154"/>
    </row>
    <row r="63" spans="1:5" ht="13.5" customHeight="1">
      <c r="A63" s="9" t="s">
        <v>44</v>
      </c>
      <c r="B63" s="21" t="s">
        <v>146</v>
      </c>
      <c r="C63" s="154"/>
      <c r="D63" s="154"/>
    </row>
    <row r="64" spans="1:5" ht="36.75" customHeight="1">
      <c r="A64" s="10" t="s">
        <v>45</v>
      </c>
      <c r="B64" s="22" t="s">
        <v>22</v>
      </c>
      <c r="C64" s="154"/>
      <c r="D64" s="154"/>
    </row>
    <row r="65" spans="1:5">
      <c r="A65" s="167" t="s">
        <v>46</v>
      </c>
      <c r="B65" s="167"/>
      <c r="C65" s="167"/>
      <c r="D65" s="167"/>
    </row>
    <row r="66" spans="1:5" ht="24" customHeight="1">
      <c r="A66" s="9" t="s">
        <v>47</v>
      </c>
      <c r="B66" s="22" t="s">
        <v>83</v>
      </c>
      <c r="C66" s="152">
        <v>0.1</v>
      </c>
      <c r="D66" s="154">
        <f>C66*7*E8</f>
        <v>1746.22</v>
      </c>
    </row>
    <row r="67" spans="1:5" ht="24" customHeight="1">
      <c r="A67" s="9" t="s">
        <v>48</v>
      </c>
      <c r="B67" s="22" t="s">
        <v>83</v>
      </c>
      <c r="C67" s="152"/>
      <c r="D67" s="154"/>
    </row>
    <row r="68" spans="1:5" ht="24.75" customHeight="1">
      <c r="A68" s="9" t="s">
        <v>49</v>
      </c>
      <c r="B68" s="22" t="s">
        <v>83</v>
      </c>
      <c r="C68" s="152"/>
      <c r="D68" s="154"/>
    </row>
    <row r="69" spans="1:5" ht="16.5" customHeight="1">
      <c r="A69" s="9" t="s">
        <v>50</v>
      </c>
      <c r="B69" s="22" t="s">
        <v>83</v>
      </c>
      <c r="C69" s="152"/>
      <c r="D69" s="154"/>
    </row>
    <row r="70" spans="1:5" ht="39.75" customHeight="1">
      <c r="A70" s="10" t="s">
        <v>51</v>
      </c>
      <c r="B70" s="22" t="s">
        <v>22</v>
      </c>
      <c r="C70" s="152"/>
      <c r="D70" s="154"/>
    </row>
    <row r="71" spans="1:5" ht="16.5" customHeight="1">
      <c r="A71" s="10" t="s">
        <v>52</v>
      </c>
      <c r="B71" s="23" t="s">
        <v>84</v>
      </c>
      <c r="C71" s="152"/>
      <c r="D71" s="154"/>
      <c r="E71">
        <f>C66*7*E8</f>
        <v>1746.22</v>
      </c>
    </row>
    <row r="72" spans="1:5">
      <c r="A72" s="157" t="s">
        <v>85</v>
      </c>
      <c r="B72" s="158"/>
      <c r="C72" s="158"/>
      <c r="D72" s="159"/>
    </row>
    <row r="73" spans="1:5" ht="26.25" customHeight="1">
      <c r="A73" s="175" t="s">
        <v>96</v>
      </c>
      <c r="B73" s="177" t="s">
        <v>86</v>
      </c>
      <c r="C73" s="152">
        <v>2.41</v>
      </c>
      <c r="D73" s="154">
        <f>C73*7*E8</f>
        <v>42083.902000000002</v>
      </c>
    </row>
    <row r="74" spans="1:5" ht="13.5" customHeight="1">
      <c r="A74" s="176"/>
      <c r="B74" s="177"/>
      <c r="C74" s="152"/>
      <c r="D74" s="154"/>
      <c r="E74">
        <f>C73*7*E8</f>
        <v>42083.902000000002</v>
      </c>
    </row>
    <row r="75" spans="1:5" ht="15" customHeight="1">
      <c r="A75" s="157" t="s">
        <v>55</v>
      </c>
      <c r="B75" s="158"/>
      <c r="C75" s="158"/>
      <c r="D75" s="159"/>
    </row>
    <row r="76" spans="1:5" ht="16.5" customHeight="1">
      <c r="A76" s="6" t="s">
        <v>90</v>
      </c>
      <c r="B76" s="21" t="s">
        <v>87</v>
      </c>
      <c r="C76" s="170">
        <v>2.14</v>
      </c>
      <c r="D76" s="172">
        <f>27200.87+680.5*7*C76</f>
        <v>37394.76</v>
      </c>
    </row>
    <row r="77" spans="1:5" ht="15" customHeight="1">
      <c r="A77" s="6" t="s">
        <v>91</v>
      </c>
      <c r="B77" s="21" t="s">
        <v>87</v>
      </c>
      <c r="C77" s="171"/>
      <c r="D77" s="173"/>
      <c r="E77">
        <f>C76*7*E8</f>
        <v>37369.108</v>
      </c>
    </row>
    <row r="78" spans="1:5" ht="15" customHeight="1">
      <c r="A78" s="6" t="s">
        <v>92</v>
      </c>
      <c r="B78" s="21" t="s">
        <v>87</v>
      </c>
      <c r="C78" s="169"/>
      <c r="D78" s="174"/>
    </row>
    <row r="79" spans="1:5" ht="38.25" customHeight="1">
      <c r="A79" s="6" t="s">
        <v>143</v>
      </c>
      <c r="B79" s="22" t="s">
        <v>22</v>
      </c>
      <c r="C79" s="143">
        <v>4.3499999999999996</v>
      </c>
      <c r="D79" s="143">
        <f>51954.48+C79*7*680.5</f>
        <v>72675.705000000002</v>
      </c>
      <c r="E79">
        <f>C79*7*E8</f>
        <v>75960.569999999992</v>
      </c>
    </row>
    <row r="80" spans="1:5" ht="18" customHeight="1">
      <c r="A80" s="6" t="s">
        <v>380</v>
      </c>
      <c r="B80" s="22"/>
      <c r="C80" s="143"/>
      <c r="D80" s="143">
        <f>-70.5*18*7+190.61</f>
        <v>-8692.39</v>
      </c>
    </row>
    <row r="81" spans="1:4">
      <c r="A81" s="144" t="s">
        <v>56</v>
      </c>
      <c r="B81" s="23"/>
      <c r="C81" s="28">
        <f>C79+C76+C73+C66+C53+C49+C42+C35+C31+C24+C21+C20+C19+C18+C17+C14</f>
        <v>18</v>
      </c>
      <c r="D81" s="28">
        <f>D79+D76+D73+D66+D53+D49+D42+D35+D31+D24+D21+D20+D19+D18+D17+D14+D80</f>
        <v>302367.99699999992</v>
      </c>
    </row>
    <row r="83" spans="1:4">
      <c r="D83" s="40"/>
    </row>
    <row r="84" spans="1:4">
      <c r="D84" s="40"/>
    </row>
    <row r="85" spans="1:4">
      <c r="D85" s="40"/>
    </row>
    <row r="86" spans="1:4">
      <c r="D86" s="40"/>
    </row>
    <row r="87" spans="1:4">
      <c r="D87" s="40"/>
    </row>
  </sheetData>
  <mergeCells count="34">
    <mergeCell ref="C35:C40"/>
    <mergeCell ref="D35:D40"/>
    <mergeCell ref="A13:D13"/>
    <mergeCell ref="B14:B15"/>
    <mergeCell ref="C14:C15"/>
    <mergeCell ref="D14:D15"/>
    <mergeCell ref="A22:D22"/>
    <mergeCell ref="C24:C29"/>
    <mergeCell ref="D24:D29"/>
    <mergeCell ref="A30:D30"/>
    <mergeCell ref="C31:C32"/>
    <mergeCell ref="D31:D32"/>
    <mergeCell ref="A33:D33"/>
    <mergeCell ref="A34:D34"/>
    <mergeCell ref="A41:D41"/>
    <mergeCell ref="C42:C47"/>
    <mergeCell ref="D42:D47"/>
    <mergeCell ref="A48:D48"/>
    <mergeCell ref="C49:C51"/>
    <mergeCell ref="D49:D51"/>
    <mergeCell ref="A52:D52"/>
    <mergeCell ref="C53:C64"/>
    <mergeCell ref="D53:D64"/>
    <mergeCell ref="A65:D65"/>
    <mergeCell ref="C66:C71"/>
    <mergeCell ref="D66:D71"/>
    <mergeCell ref="C76:C78"/>
    <mergeCell ref="D76:D78"/>
    <mergeCell ref="A72:D72"/>
    <mergeCell ref="A73:A74"/>
    <mergeCell ref="B73:B74"/>
    <mergeCell ref="C73:C74"/>
    <mergeCell ref="D73:D74"/>
    <mergeCell ref="A75:D7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85"/>
  <sheetViews>
    <sheetView topLeftCell="A28" workbookViewId="0">
      <selection activeCell="D83" sqref="D83"/>
    </sheetView>
  </sheetViews>
  <sheetFormatPr defaultRowHeight="15"/>
  <cols>
    <col min="1" max="1" width="93.5703125" customWidth="1"/>
    <col min="2" max="2" width="13" customWidth="1"/>
    <col min="3" max="3" width="12.140625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376</v>
      </c>
      <c r="B2" s="2"/>
      <c r="C2" s="2"/>
      <c r="D2" s="2"/>
    </row>
    <row r="3" spans="1:4">
      <c r="A3" s="1" t="s">
        <v>381</v>
      </c>
      <c r="B3" s="2"/>
      <c r="C3" s="2"/>
      <c r="D3" s="2"/>
    </row>
    <row r="4" spans="1:4">
      <c r="A4" s="25" t="s">
        <v>58</v>
      </c>
      <c r="B4" s="2">
        <v>1991</v>
      </c>
      <c r="C4" s="2"/>
      <c r="D4" s="2"/>
    </row>
    <row r="5" spans="1:4">
      <c r="A5" s="25" t="s">
        <v>59</v>
      </c>
      <c r="B5" s="2">
        <v>5</v>
      </c>
      <c r="C5" s="2"/>
      <c r="D5" s="2"/>
    </row>
    <row r="6" spans="1:4">
      <c r="A6" s="25" t="s">
        <v>60</v>
      </c>
      <c r="B6" s="2">
        <v>4</v>
      </c>
      <c r="C6" s="2"/>
      <c r="D6" s="2"/>
    </row>
    <row r="7" spans="1:4">
      <c r="A7" s="25" t="s">
        <v>61</v>
      </c>
      <c r="B7" s="2">
        <v>60</v>
      </c>
      <c r="C7" s="2"/>
      <c r="D7" s="2"/>
    </row>
    <row r="8" spans="1:4">
      <c r="A8" s="25" t="s">
        <v>72</v>
      </c>
      <c r="B8" s="2">
        <v>3358.6</v>
      </c>
      <c r="C8" s="2"/>
      <c r="D8" s="2"/>
    </row>
    <row r="9" spans="1:4">
      <c r="A9" s="25" t="s">
        <v>62</v>
      </c>
      <c r="B9" s="2">
        <v>353.9</v>
      </c>
      <c r="C9" s="2"/>
      <c r="D9" s="2"/>
    </row>
    <row r="10" spans="1:4">
      <c r="A10" s="25" t="s">
        <v>73</v>
      </c>
      <c r="B10" s="46">
        <v>801</v>
      </c>
      <c r="C10" s="2"/>
      <c r="D10" s="2"/>
    </row>
    <row r="11" spans="1:4" ht="36.75">
      <c r="A11" s="142" t="s">
        <v>1</v>
      </c>
      <c r="B11" s="142" t="s">
        <v>2</v>
      </c>
      <c r="C11" s="142" t="s">
        <v>3</v>
      </c>
      <c r="D11" s="142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1.02</v>
      </c>
      <c r="D13" s="163">
        <f>C13*7*B8</f>
        <v>23980.404000000002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103" t="s">
        <v>9</v>
      </c>
      <c r="B15" s="142"/>
      <c r="C15" s="26"/>
      <c r="D15" s="30"/>
    </row>
    <row r="16" spans="1:4">
      <c r="A16" s="103" t="s">
        <v>379</v>
      </c>
      <c r="B16" s="142" t="s">
        <v>80</v>
      </c>
      <c r="C16" s="26">
        <v>1.5</v>
      </c>
      <c r="D16" s="30">
        <f>C16*7*B8</f>
        <v>35265.299999999996</v>
      </c>
    </row>
    <row r="17" spans="1:4">
      <c r="A17" s="103" t="s">
        <v>372</v>
      </c>
      <c r="B17" s="142" t="s">
        <v>80</v>
      </c>
      <c r="C17" s="26">
        <v>2</v>
      </c>
      <c r="D17" s="30">
        <f>C17*7*B8</f>
        <v>47020.4</v>
      </c>
    </row>
    <row r="18" spans="1:4">
      <c r="A18" s="103" t="s">
        <v>373</v>
      </c>
      <c r="B18" s="142" t="s">
        <v>80</v>
      </c>
      <c r="C18" s="26">
        <v>0.9</v>
      </c>
      <c r="D18" s="30">
        <f>C18*7*B8</f>
        <v>21159.18</v>
      </c>
    </row>
    <row r="19" spans="1:4">
      <c r="A19" s="103" t="s">
        <v>377</v>
      </c>
      <c r="B19" s="142" t="s">
        <v>80</v>
      </c>
      <c r="C19" s="26">
        <v>0.15</v>
      </c>
      <c r="D19" s="30">
        <f>C19*7*B8</f>
        <v>3526.53</v>
      </c>
    </row>
    <row r="20" spans="1:4">
      <c r="A20" s="103" t="s">
        <v>378</v>
      </c>
      <c r="B20" s="142" t="s">
        <v>80</v>
      </c>
      <c r="C20" s="26">
        <v>0.45</v>
      </c>
      <c r="D20" s="30">
        <f>C20*7*B8</f>
        <v>10579.59</v>
      </c>
    </row>
    <row r="21" spans="1:4">
      <c r="A21" s="165" t="s">
        <v>10</v>
      </c>
      <c r="B21" s="165"/>
      <c r="C21" s="165"/>
      <c r="D21" s="165"/>
    </row>
    <row r="22" spans="1:4" ht="13.5" customHeight="1">
      <c r="A22" s="39" t="s">
        <v>97</v>
      </c>
      <c r="B22" s="144"/>
      <c r="C22" s="144"/>
      <c r="D22" s="144"/>
    </row>
    <row r="23" spans="1:4" ht="13.5" customHeight="1">
      <c r="A23" s="6" t="s">
        <v>11</v>
      </c>
      <c r="B23" s="142" t="s">
        <v>75</v>
      </c>
      <c r="C23" s="152">
        <v>2.16</v>
      </c>
      <c r="D23" s="166">
        <f>C23*7*B8</f>
        <v>50782.031999999999</v>
      </c>
    </row>
    <row r="24" spans="1:4" ht="12.75" customHeight="1">
      <c r="A24" s="6" t="s">
        <v>12</v>
      </c>
      <c r="B24" s="142" t="s">
        <v>75</v>
      </c>
      <c r="C24" s="152"/>
      <c r="D24" s="155"/>
    </row>
    <row r="25" spans="1:4" ht="14.25" customHeight="1">
      <c r="A25" s="6" t="s">
        <v>13</v>
      </c>
      <c r="B25" s="142" t="s">
        <v>75</v>
      </c>
      <c r="C25" s="152"/>
      <c r="D25" s="155"/>
    </row>
    <row r="26" spans="1:4" ht="13.5" customHeight="1">
      <c r="A26" s="6" t="s">
        <v>14</v>
      </c>
      <c r="B26" s="142" t="s">
        <v>76</v>
      </c>
      <c r="C26" s="152"/>
      <c r="D26" s="155"/>
    </row>
    <row r="27" spans="1:4" ht="12.75" customHeight="1">
      <c r="A27" s="39" t="s">
        <v>93</v>
      </c>
      <c r="B27" s="142"/>
      <c r="C27" s="152"/>
      <c r="D27" s="155"/>
    </row>
    <row r="28" spans="1:4" ht="30" customHeight="1">
      <c r="A28" s="6" t="s">
        <v>15</v>
      </c>
      <c r="B28" s="142" t="s">
        <v>94</v>
      </c>
      <c r="C28" s="152"/>
      <c r="D28" s="156"/>
    </row>
    <row r="29" spans="1:4" ht="12.75" customHeight="1">
      <c r="A29" s="157" t="s">
        <v>16</v>
      </c>
      <c r="B29" s="158"/>
      <c r="C29" s="158"/>
      <c r="D29" s="159"/>
    </row>
    <row r="30" spans="1:4" ht="12" customHeight="1">
      <c r="A30" s="7" t="s">
        <v>17</v>
      </c>
      <c r="B30" s="21" t="s">
        <v>78</v>
      </c>
      <c r="C30" s="152">
        <v>0.2</v>
      </c>
      <c r="D30" s="167">
        <f>C30*B8*7</f>
        <v>4702.04</v>
      </c>
    </row>
    <row r="31" spans="1:4" ht="12" customHeight="1">
      <c r="A31" s="7" t="s">
        <v>18</v>
      </c>
      <c r="B31" s="21" t="s">
        <v>77</v>
      </c>
      <c r="C31" s="152"/>
      <c r="D31" s="167"/>
    </row>
    <row r="32" spans="1:4" ht="13.5" customHeight="1">
      <c r="A32" s="157" t="s">
        <v>19</v>
      </c>
      <c r="B32" s="158"/>
      <c r="C32" s="158"/>
      <c r="D32" s="159"/>
    </row>
    <row r="33" spans="1:4">
      <c r="A33" s="167" t="s">
        <v>20</v>
      </c>
      <c r="B33" s="167"/>
      <c r="C33" s="167"/>
      <c r="D33" s="167"/>
    </row>
    <row r="34" spans="1:4" ht="37.5" customHeight="1">
      <c r="A34" s="8" t="s">
        <v>21</v>
      </c>
      <c r="B34" s="22" t="s">
        <v>79</v>
      </c>
      <c r="C34" s="152">
        <v>0.79</v>
      </c>
      <c r="D34" s="154">
        <f>C34*B8*7</f>
        <v>18573.057999999997</v>
      </c>
    </row>
    <row r="35" spans="1:4" ht="15" customHeight="1">
      <c r="A35" s="9" t="s">
        <v>23</v>
      </c>
      <c r="B35" s="23" t="s">
        <v>80</v>
      </c>
      <c r="C35" s="152"/>
      <c r="D35" s="155"/>
    </row>
    <row r="36" spans="1:4" ht="13.5" customHeight="1">
      <c r="A36" s="9" t="s">
        <v>25</v>
      </c>
      <c r="B36" s="23" t="s">
        <v>80</v>
      </c>
      <c r="C36" s="152"/>
      <c r="D36" s="155"/>
    </row>
    <row r="37" spans="1:4" ht="36" customHeight="1">
      <c r="A37" s="9" t="s">
        <v>26</v>
      </c>
      <c r="B37" s="22" t="s">
        <v>22</v>
      </c>
      <c r="C37" s="152"/>
      <c r="D37" s="155"/>
    </row>
    <row r="38" spans="1:4" ht="14.25" customHeight="1">
      <c r="A38" s="9" t="s">
        <v>27</v>
      </c>
      <c r="B38" s="22" t="s">
        <v>24</v>
      </c>
      <c r="C38" s="152"/>
      <c r="D38" s="155"/>
    </row>
    <row r="39" spans="1:4" ht="33.75" customHeight="1">
      <c r="A39" s="24" t="s">
        <v>28</v>
      </c>
      <c r="B39" s="22" t="s">
        <v>22</v>
      </c>
      <c r="C39" s="153"/>
      <c r="D39" s="156"/>
    </row>
    <row r="40" spans="1:4" ht="15.75" customHeight="1">
      <c r="A40" s="167" t="s">
        <v>65</v>
      </c>
      <c r="B40" s="167"/>
      <c r="C40" s="167"/>
      <c r="D40" s="167"/>
    </row>
    <row r="41" spans="1:4" ht="36.75" customHeight="1">
      <c r="A41" s="9" t="s">
        <v>66</v>
      </c>
      <c r="B41" s="22" t="s">
        <v>79</v>
      </c>
      <c r="C41" s="154">
        <v>1.0900000000000001</v>
      </c>
      <c r="D41" s="152">
        <f>C41*7*B8</f>
        <v>25626.118000000002</v>
      </c>
    </row>
    <row r="42" spans="1:4" ht="14.25" customHeight="1">
      <c r="A42" s="9" t="s">
        <v>67</v>
      </c>
      <c r="B42" s="22" t="s">
        <v>80</v>
      </c>
      <c r="C42" s="154"/>
      <c r="D42" s="168"/>
    </row>
    <row r="43" spans="1:4" ht="14.25" customHeight="1">
      <c r="A43" s="9" t="s">
        <v>68</v>
      </c>
      <c r="B43" s="22" t="s">
        <v>80</v>
      </c>
      <c r="C43" s="154"/>
      <c r="D43" s="168"/>
    </row>
    <row r="44" spans="1:4" ht="24" customHeight="1">
      <c r="A44" s="9" t="s">
        <v>69</v>
      </c>
      <c r="B44" s="22" t="s">
        <v>79</v>
      </c>
      <c r="C44" s="154"/>
      <c r="D44" s="168"/>
    </row>
    <row r="45" spans="1:4" ht="25.5" customHeight="1">
      <c r="A45" s="10" t="s">
        <v>70</v>
      </c>
      <c r="B45" s="22" t="s">
        <v>79</v>
      </c>
      <c r="C45" s="154"/>
      <c r="D45" s="168"/>
    </row>
    <row r="46" spans="1:4" ht="14.25" customHeight="1">
      <c r="A46" s="9" t="s">
        <v>71</v>
      </c>
      <c r="B46" s="22" t="s">
        <v>24</v>
      </c>
      <c r="C46" s="154"/>
      <c r="D46" s="162"/>
    </row>
    <row r="47" spans="1:4" ht="11.25" customHeight="1">
      <c r="A47" s="169" t="s">
        <v>29</v>
      </c>
      <c r="B47" s="169"/>
      <c r="C47" s="169"/>
      <c r="D47" s="169"/>
    </row>
    <row r="48" spans="1:4" ht="35.25" customHeight="1">
      <c r="A48" s="9" t="s">
        <v>30</v>
      </c>
      <c r="B48" s="22" t="s">
        <v>22</v>
      </c>
      <c r="C48" s="154">
        <v>0.91</v>
      </c>
      <c r="D48" s="152">
        <f>C48*7*B8</f>
        <v>21394.281999999999</v>
      </c>
    </row>
    <row r="49" spans="1:4" ht="38.25" customHeight="1">
      <c r="A49" s="9" t="s">
        <v>31</v>
      </c>
      <c r="B49" s="22" t="s">
        <v>22</v>
      </c>
      <c r="C49" s="154"/>
      <c r="D49" s="152"/>
    </row>
    <row r="50" spans="1:4" ht="15" customHeight="1">
      <c r="A50" s="10" t="s">
        <v>32</v>
      </c>
      <c r="B50" s="22" t="s">
        <v>22</v>
      </c>
      <c r="C50" s="154"/>
      <c r="D50" s="152"/>
    </row>
    <row r="51" spans="1:4" ht="12.75" customHeight="1">
      <c r="A51" s="167" t="s">
        <v>33</v>
      </c>
      <c r="B51" s="167"/>
      <c r="C51" s="167"/>
      <c r="D51" s="167"/>
    </row>
    <row r="52" spans="1:4" ht="29.25" customHeight="1">
      <c r="A52" s="9" t="s">
        <v>34</v>
      </c>
      <c r="B52" s="22" t="s">
        <v>77</v>
      </c>
      <c r="C52" s="154">
        <v>0.91</v>
      </c>
      <c r="D52" s="154">
        <f>C52*7*B8</f>
        <v>21394.281999999999</v>
      </c>
    </row>
    <row r="53" spans="1:4" ht="14.25" customHeight="1">
      <c r="A53" s="9" t="s">
        <v>35</v>
      </c>
      <c r="B53" s="22" t="s">
        <v>81</v>
      </c>
      <c r="C53" s="154"/>
      <c r="D53" s="154"/>
    </row>
    <row r="54" spans="1:4" ht="17.25" customHeight="1">
      <c r="A54" s="9" t="s">
        <v>36</v>
      </c>
      <c r="B54" s="22" t="s">
        <v>81</v>
      </c>
      <c r="C54" s="154"/>
      <c r="D54" s="154"/>
    </row>
    <row r="55" spans="1:4" ht="24.75" customHeight="1">
      <c r="A55" s="9" t="s">
        <v>37</v>
      </c>
      <c r="B55" s="22" t="s">
        <v>82</v>
      </c>
      <c r="C55" s="154"/>
      <c r="D55" s="154"/>
    </row>
    <row r="56" spans="1:4" ht="30" customHeight="1">
      <c r="A56" s="9" t="s">
        <v>38</v>
      </c>
      <c r="B56" s="22" t="s">
        <v>82</v>
      </c>
      <c r="C56" s="154"/>
      <c r="D56" s="154"/>
    </row>
    <row r="57" spans="1:4" ht="12.75" customHeight="1">
      <c r="A57" s="144" t="s">
        <v>95</v>
      </c>
      <c r="B57" s="6"/>
      <c r="C57" s="154"/>
      <c r="D57" s="154"/>
    </row>
    <row r="58" spans="1:4" ht="35.25" customHeight="1">
      <c r="A58" s="9" t="s">
        <v>40</v>
      </c>
      <c r="B58" s="22" t="s">
        <v>79</v>
      </c>
      <c r="C58" s="154"/>
      <c r="D58" s="154"/>
    </row>
    <row r="59" spans="1:4" ht="14.25" customHeight="1">
      <c r="A59" s="9" t="s">
        <v>41</v>
      </c>
      <c r="B59" s="22" t="s">
        <v>24</v>
      </c>
      <c r="C59" s="154"/>
      <c r="D59" s="154"/>
    </row>
    <row r="60" spans="1:4" ht="14.25" customHeight="1">
      <c r="A60" s="9" t="s">
        <v>42</v>
      </c>
      <c r="B60" s="23" t="s">
        <v>24</v>
      </c>
      <c r="C60" s="154"/>
      <c r="D60" s="154"/>
    </row>
    <row r="61" spans="1:4" ht="13.5" customHeight="1">
      <c r="A61" s="9" t="s">
        <v>43</v>
      </c>
      <c r="B61" s="23" t="s">
        <v>24</v>
      </c>
      <c r="C61" s="154"/>
      <c r="D61" s="154"/>
    </row>
    <row r="62" spans="1:4" ht="13.5" customHeight="1">
      <c r="A62" s="9" t="s">
        <v>44</v>
      </c>
      <c r="B62" s="21" t="s">
        <v>146</v>
      </c>
      <c r="C62" s="154"/>
      <c r="D62" s="154"/>
    </row>
    <row r="63" spans="1:4" ht="36.75" customHeight="1">
      <c r="A63" s="10" t="s">
        <v>45</v>
      </c>
      <c r="B63" s="22" t="s">
        <v>22</v>
      </c>
      <c r="C63" s="154"/>
      <c r="D63" s="154"/>
    </row>
    <row r="64" spans="1:4">
      <c r="A64" s="167" t="s">
        <v>46</v>
      </c>
      <c r="B64" s="167"/>
      <c r="C64" s="167"/>
      <c r="D64" s="167"/>
    </row>
    <row r="65" spans="1:4" ht="15.75" customHeight="1">
      <c r="A65" s="9" t="s">
        <v>47</v>
      </c>
      <c r="B65" s="22" t="s">
        <v>83</v>
      </c>
      <c r="C65" s="152">
        <v>0.64</v>
      </c>
      <c r="D65" s="154">
        <f>C65*B8*7+0.26</f>
        <v>15046.787999999999</v>
      </c>
    </row>
    <row r="66" spans="1:4" ht="12.75" customHeight="1">
      <c r="A66" s="9" t="s">
        <v>48</v>
      </c>
      <c r="B66" s="22" t="s">
        <v>83</v>
      </c>
      <c r="C66" s="152"/>
      <c r="D66" s="154"/>
    </row>
    <row r="67" spans="1:4" ht="24.75" customHeight="1">
      <c r="A67" s="9" t="s">
        <v>49</v>
      </c>
      <c r="B67" s="22" t="s">
        <v>83</v>
      </c>
      <c r="C67" s="152"/>
      <c r="D67" s="154"/>
    </row>
    <row r="68" spans="1:4" ht="16.5" customHeight="1">
      <c r="A68" s="9" t="s">
        <v>50</v>
      </c>
      <c r="B68" s="22" t="s">
        <v>83</v>
      </c>
      <c r="C68" s="152"/>
      <c r="D68" s="154"/>
    </row>
    <row r="69" spans="1:4" ht="39.75" customHeight="1">
      <c r="A69" s="10" t="s">
        <v>51</v>
      </c>
      <c r="B69" s="22" t="s">
        <v>22</v>
      </c>
      <c r="C69" s="152"/>
      <c r="D69" s="154"/>
    </row>
    <row r="70" spans="1:4" ht="16.5" customHeight="1">
      <c r="A70" s="10" t="s">
        <v>52</v>
      </c>
      <c r="B70" s="23" t="s">
        <v>84</v>
      </c>
      <c r="C70" s="152"/>
      <c r="D70" s="154"/>
    </row>
    <row r="71" spans="1:4">
      <c r="A71" s="157" t="s">
        <v>85</v>
      </c>
      <c r="B71" s="158"/>
      <c r="C71" s="158"/>
      <c r="D71" s="159"/>
    </row>
    <row r="72" spans="1:4" ht="26.25" customHeight="1">
      <c r="A72" s="175" t="s">
        <v>96</v>
      </c>
      <c r="B72" s="177" t="s">
        <v>86</v>
      </c>
      <c r="C72" s="152">
        <v>2.41</v>
      </c>
      <c r="D72" s="154">
        <f>C72*B8*7</f>
        <v>56659.582000000002</v>
      </c>
    </row>
    <row r="73" spans="1:4" ht="13.5" customHeight="1">
      <c r="A73" s="176"/>
      <c r="B73" s="177"/>
      <c r="C73" s="152"/>
      <c r="D73" s="154"/>
    </row>
    <row r="74" spans="1:4" ht="15" customHeight="1">
      <c r="A74" s="157" t="s">
        <v>55</v>
      </c>
      <c r="B74" s="158"/>
      <c r="C74" s="158"/>
      <c r="D74" s="159"/>
    </row>
    <row r="75" spans="1:4" ht="16.5" customHeight="1">
      <c r="A75" s="6" t="s">
        <v>90</v>
      </c>
      <c r="B75" s="21" t="s">
        <v>87</v>
      </c>
      <c r="C75" s="170">
        <v>2.14</v>
      </c>
      <c r="D75" s="172">
        <f>43124.28+7187.38</f>
        <v>50311.659999999996</v>
      </c>
    </row>
    <row r="76" spans="1:4">
      <c r="A76" s="6" t="s">
        <v>91</v>
      </c>
      <c r="B76" s="21" t="s">
        <v>87</v>
      </c>
      <c r="C76" s="171"/>
      <c r="D76" s="173"/>
    </row>
    <row r="77" spans="1:4" ht="15" customHeight="1">
      <c r="A77" s="6" t="s">
        <v>92</v>
      </c>
      <c r="B77" s="21" t="s">
        <v>87</v>
      </c>
      <c r="C77" s="169"/>
      <c r="D77" s="174"/>
    </row>
    <row r="78" spans="1:4" ht="38.25" customHeight="1">
      <c r="A78" s="6" t="s">
        <v>143</v>
      </c>
      <c r="B78" s="22" t="s">
        <v>22</v>
      </c>
      <c r="C78" s="143">
        <v>4.3499999999999996</v>
      </c>
      <c r="D78" s="143">
        <v>100123.52</v>
      </c>
    </row>
    <row r="79" spans="1:4" ht="18" customHeight="1">
      <c r="A79" s="6" t="s">
        <v>380</v>
      </c>
      <c r="B79" s="22"/>
      <c r="C79" s="143"/>
      <c r="D79" s="143">
        <f>-70.5*15.13*7</f>
        <v>-7466.6549999999997</v>
      </c>
    </row>
    <row r="80" spans="1:4">
      <c r="A80" s="144" t="s">
        <v>56</v>
      </c>
      <c r="B80" s="23"/>
      <c r="C80" s="28">
        <f>C78+C75+C72+C65+C52+C48+C41+C34+C30+C23+C20+C19+C18+C17+C16+C13</f>
        <v>21.619999999999997</v>
      </c>
      <c r="D80" s="28">
        <f>D78+D75+D72+D65+D52+D48+D41+D34+D30+D23+D20+D19+D18+D17+D16+D13+D79</f>
        <v>498678.11100000003</v>
      </c>
    </row>
    <row r="82" spans="4:4">
      <c r="D82" s="40"/>
    </row>
    <row r="83" spans="4:4">
      <c r="D83" s="40"/>
    </row>
    <row r="84" spans="4:4">
      <c r="D84" s="40"/>
    </row>
    <row r="85" spans="4:4">
      <c r="D85" s="40"/>
    </row>
  </sheetData>
  <mergeCells count="34">
    <mergeCell ref="C34:C39"/>
    <mergeCell ref="D34:D39"/>
    <mergeCell ref="A12:D12"/>
    <mergeCell ref="B13:B14"/>
    <mergeCell ref="C13:C14"/>
    <mergeCell ref="D13:D14"/>
    <mergeCell ref="A21:D21"/>
    <mergeCell ref="C23:C28"/>
    <mergeCell ref="D23:D28"/>
    <mergeCell ref="A29:D29"/>
    <mergeCell ref="C30:C31"/>
    <mergeCell ref="D30:D31"/>
    <mergeCell ref="A32:D32"/>
    <mergeCell ref="A33:D33"/>
    <mergeCell ref="A40:D40"/>
    <mergeCell ref="C41:C46"/>
    <mergeCell ref="D41:D46"/>
    <mergeCell ref="A47:D47"/>
    <mergeCell ref="C48:C50"/>
    <mergeCell ref="D48:D50"/>
    <mergeCell ref="A51:D51"/>
    <mergeCell ref="C52:C63"/>
    <mergeCell ref="D52:D63"/>
    <mergeCell ref="A64:D64"/>
    <mergeCell ref="C65:C70"/>
    <mergeCell ref="D65:D70"/>
    <mergeCell ref="C75:C77"/>
    <mergeCell ref="D75:D77"/>
    <mergeCell ref="A71:D71"/>
    <mergeCell ref="A72:A73"/>
    <mergeCell ref="B72:B73"/>
    <mergeCell ref="C72:C73"/>
    <mergeCell ref="D72:D73"/>
    <mergeCell ref="A74:D7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84"/>
  <sheetViews>
    <sheetView workbookViewId="0">
      <selection activeCell="A81" sqref="A81"/>
    </sheetView>
  </sheetViews>
  <sheetFormatPr defaultRowHeight="15"/>
  <cols>
    <col min="1" max="1" width="93.5703125" customWidth="1"/>
    <col min="2" max="2" width="13" customWidth="1"/>
    <col min="3" max="3" width="12.140625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371</v>
      </c>
      <c r="B2" s="2"/>
      <c r="C2" s="2"/>
      <c r="D2" s="2"/>
    </row>
    <row r="3" spans="1:4">
      <c r="A3" s="1" t="s">
        <v>368</v>
      </c>
      <c r="B3" s="2"/>
      <c r="C3" s="2"/>
      <c r="D3" s="2"/>
    </row>
    <row r="4" spans="1:4">
      <c r="A4" s="25" t="s">
        <v>58</v>
      </c>
      <c r="B4" s="2">
        <v>1989</v>
      </c>
      <c r="C4" s="2"/>
      <c r="D4" s="2"/>
    </row>
    <row r="5" spans="1:4">
      <c r="A5" s="25" t="s">
        <v>59</v>
      </c>
      <c r="B5" s="2">
        <v>5</v>
      </c>
      <c r="C5" s="2"/>
      <c r="D5" s="2"/>
    </row>
    <row r="6" spans="1:4">
      <c r="A6" s="25" t="s">
        <v>60</v>
      </c>
      <c r="B6" s="2">
        <v>4</v>
      </c>
      <c r="C6" s="2"/>
      <c r="D6" s="2"/>
    </row>
    <row r="7" spans="1:4">
      <c r="A7" s="25" t="s">
        <v>61</v>
      </c>
      <c r="B7" s="2">
        <v>80</v>
      </c>
      <c r="C7" s="2"/>
      <c r="D7" s="2"/>
    </row>
    <row r="8" spans="1:4">
      <c r="A8" s="25" t="s">
        <v>72</v>
      </c>
      <c r="B8" s="2">
        <v>4072.4</v>
      </c>
      <c r="C8" s="2"/>
      <c r="D8" s="2"/>
    </row>
    <row r="9" spans="1:4">
      <c r="A9" s="25" t="s">
        <v>62</v>
      </c>
      <c r="B9" s="2">
        <v>475.1</v>
      </c>
      <c r="C9" s="2"/>
      <c r="D9" s="2"/>
    </row>
    <row r="10" spans="1:4">
      <c r="A10" s="25" t="s">
        <v>73</v>
      </c>
      <c r="B10" s="46">
        <v>895.3</v>
      </c>
      <c r="C10" s="2"/>
      <c r="D10" s="2"/>
    </row>
    <row r="11" spans="1:4" ht="36.75">
      <c r="A11" s="142" t="s">
        <v>1</v>
      </c>
      <c r="B11" s="142" t="s">
        <v>2</v>
      </c>
      <c r="C11" s="142" t="s">
        <v>3</v>
      </c>
      <c r="D11" s="142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1.02</v>
      </c>
      <c r="D13" s="163">
        <f>C13*5*B8</f>
        <v>20769.239999999998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103" t="s">
        <v>9</v>
      </c>
      <c r="B15" s="142"/>
      <c r="C15" s="26"/>
      <c r="D15" s="30"/>
    </row>
    <row r="16" spans="1:4">
      <c r="A16" s="103" t="s">
        <v>369</v>
      </c>
      <c r="B16" s="142" t="s">
        <v>80</v>
      </c>
      <c r="C16" s="26">
        <v>1.5</v>
      </c>
      <c r="D16" s="30">
        <f>C16*5*B8</f>
        <v>30543</v>
      </c>
    </row>
    <row r="17" spans="1:4">
      <c r="A17" s="103" t="s">
        <v>372</v>
      </c>
      <c r="B17" s="142" t="s">
        <v>80</v>
      </c>
      <c r="C17" s="26">
        <v>2</v>
      </c>
      <c r="D17" s="30">
        <f>C17*5*B8</f>
        <v>40724</v>
      </c>
    </row>
    <row r="18" spans="1:4">
      <c r="A18" s="103" t="s">
        <v>373</v>
      </c>
      <c r="B18" s="142" t="s">
        <v>80</v>
      </c>
      <c r="C18" s="26">
        <v>1.05</v>
      </c>
      <c r="D18" s="30">
        <f>C18*5*B8</f>
        <v>21380.100000000002</v>
      </c>
    </row>
    <row r="19" spans="1:4">
      <c r="A19" s="103" t="s">
        <v>374</v>
      </c>
      <c r="B19" s="142" t="s">
        <v>80</v>
      </c>
      <c r="C19" s="26">
        <v>0.45</v>
      </c>
      <c r="D19" s="30">
        <f>C19*5*B8</f>
        <v>9162.9</v>
      </c>
    </row>
    <row r="20" spans="1:4">
      <c r="A20" s="165" t="s">
        <v>10</v>
      </c>
      <c r="B20" s="165"/>
      <c r="C20" s="165"/>
      <c r="D20" s="165"/>
    </row>
    <row r="21" spans="1:4" ht="13.5" customHeight="1">
      <c r="A21" s="39" t="s">
        <v>97</v>
      </c>
      <c r="B21" s="144"/>
      <c r="C21" s="144"/>
      <c r="D21" s="144"/>
    </row>
    <row r="22" spans="1:4" ht="13.5" customHeight="1">
      <c r="A22" s="6" t="s">
        <v>11</v>
      </c>
      <c r="B22" s="142" t="s">
        <v>75</v>
      </c>
      <c r="C22" s="152">
        <v>2.16</v>
      </c>
      <c r="D22" s="166">
        <f>C22*5*B8</f>
        <v>43981.920000000006</v>
      </c>
    </row>
    <row r="23" spans="1:4" ht="12.75" customHeight="1">
      <c r="A23" s="6" t="s">
        <v>12</v>
      </c>
      <c r="B23" s="142" t="s">
        <v>75</v>
      </c>
      <c r="C23" s="152"/>
      <c r="D23" s="155"/>
    </row>
    <row r="24" spans="1:4" ht="14.25" customHeight="1">
      <c r="A24" s="6" t="s">
        <v>13</v>
      </c>
      <c r="B24" s="142" t="s">
        <v>75</v>
      </c>
      <c r="C24" s="152"/>
      <c r="D24" s="155"/>
    </row>
    <row r="25" spans="1:4" ht="13.5" customHeight="1">
      <c r="A25" s="6" t="s">
        <v>14</v>
      </c>
      <c r="B25" s="142" t="s">
        <v>76</v>
      </c>
      <c r="C25" s="152"/>
      <c r="D25" s="155"/>
    </row>
    <row r="26" spans="1:4" ht="12.75" customHeight="1">
      <c r="A26" s="39" t="s">
        <v>93</v>
      </c>
      <c r="B26" s="142"/>
      <c r="C26" s="152"/>
      <c r="D26" s="155"/>
    </row>
    <row r="27" spans="1:4" ht="30" customHeight="1">
      <c r="A27" s="6" t="s">
        <v>15</v>
      </c>
      <c r="B27" s="142" t="s">
        <v>94</v>
      </c>
      <c r="C27" s="152"/>
      <c r="D27" s="156"/>
    </row>
    <row r="28" spans="1:4" ht="12.75" customHeight="1">
      <c r="A28" s="157" t="s">
        <v>16</v>
      </c>
      <c r="B28" s="158"/>
      <c r="C28" s="158"/>
      <c r="D28" s="159"/>
    </row>
    <row r="29" spans="1:4" ht="12" customHeight="1">
      <c r="A29" s="7" t="s">
        <v>17</v>
      </c>
      <c r="B29" s="21" t="s">
        <v>78</v>
      </c>
      <c r="C29" s="152">
        <v>0.2</v>
      </c>
      <c r="D29" s="167">
        <f>C29*B8*5</f>
        <v>4072.4</v>
      </c>
    </row>
    <row r="30" spans="1:4" ht="12" customHeight="1">
      <c r="A30" s="7" t="s">
        <v>18</v>
      </c>
      <c r="B30" s="21" t="s">
        <v>77</v>
      </c>
      <c r="C30" s="152"/>
      <c r="D30" s="167"/>
    </row>
    <row r="31" spans="1:4" ht="13.5" customHeight="1">
      <c r="A31" s="157" t="s">
        <v>19</v>
      </c>
      <c r="B31" s="158"/>
      <c r="C31" s="158"/>
      <c r="D31" s="159"/>
    </row>
    <row r="32" spans="1:4">
      <c r="A32" s="167" t="s">
        <v>20</v>
      </c>
      <c r="B32" s="167"/>
      <c r="C32" s="167"/>
      <c r="D32" s="167"/>
    </row>
    <row r="33" spans="1:4" ht="37.5" customHeight="1">
      <c r="A33" s="8" t="s">
        <v>21</v>
      </c>
      <c r="B33" s="22" t="s">
        <v>79</v>
      </c>
      <c r="C33" s="152">
        <v>0.79</v>
      </c>
      <c r="D33" s="154">
        <f>C33*B8*5</f>
        <v>16085.980000000001</v>
      </c>
    </row>
    <row r="34" spans="1:4" ht="15" customHeight="1">
      <c r="A34" s="9" t="s">
        <v>23</v>
      </c>
      <c r="B34" s="23" t="s">
        <v>80</v>
      </c>
      <c r="C34" s="152"/>
      <c r="D34" s="155"/>
    </row>
    <row r="35" spans="1:4" ht="13.5" customHeight="1">
      <c r="A35" s="9" t="s">
        <v>25</v>
      </c>
      <c r="B35" s="23" t="s">
        <v>80</v>
      </c>
      <c r="C35" s="152"/>
      <c r="D35" s="155"/>
    </row>
    <row r="36" spans="1:4" ht="36" customHeight="1">
      <c r="A36" s="9" t="s">
        <v>26</v>
      </c>
      <c r="B36" s="22" t="s">
        <v>22</v>
      </c>
      <c r="C36" s="152"/>
      <c r="D36" s="155"/>
    </row>
    <row r="37" spans="1:4" ht="14.25" customHeight="1">
      <c r="A37" s="9" t="s">
        <v>27</v>
      </c>
      <c r="B37" s="22" t="s">
        <v>24</v>
      </c>
      <c r="C37" s="152"/>
      <c r="D37" s="155"/>
    </row>
    <row r="38" spans="1:4" ht="33.75" customHeight="1">
      <c r="A38" s="24" t="s">
        <v>28</v>
      </c>
      <c r="B38" s="22" t="s">
        <v>22</v>
      </c>
      <c r="C38" s="153"/>
      <c r="D38" s="156"/>
    </row>
    <row r="39" spans="1:4" ht="15.75" customHeight="1">
      <c r="A39" s="167" t="s">
        <v>65</v>
      </c>
      <c r="B39" s="167"/>
      <c r="C39" s="167"/>
      <c r="D39" s="167"/>
    </row>
    <row r="40" spans="1:4" ht="36.75" customHeight="1">
      <c r="A40" s="9" t="s">
        <v>66</v>
      </c>
      <c r="B40" s="22" t="s">
        <v>79</v>
      </c>
      <c r="C40" s="154">
        <v>1.0900000000000001</v>
      </c>
      <c r="D40" s="152">
        <f>C40*5*B8</f>
        <v>22194.58</v>
      </c>
    </row>
    <row r="41" spans="1:4" ht="14.25" customHeight="1">
      <c r="A41" s="9" t="s">
        <v>67</v>
      </c>
      <c r="B41" s="22" t="s">
        <v>80</v>
      </c>
      <c r="C41" s="154"/>
      <c r="D41" s="168"/>
    </row>
    <row r="42" spans="1:4" ht="14.25" customHeight="1">
      <c r="A42" s="9" t="s">
        <v>68</v>
      </c>
      <c r="B42" s="22" t="s">
        <v>80</v>
      </c>
      <c r="C42" s="154"/>
      <c r="D42" s="168"/>
    </row>
    <row r="43" spans="1:4" ht="24" customHeight="1">
      <c r="A43" s="9" t="s">
        <v>69</v>
      </c>
      <c r="B43" s="22" t="s">
        <v>79</v>
      </c>
      <c r="C43" s="154"/>
      <c r="D43" s="168"/>
    </row>
    <row r="44" spans="1:4" ht="25.5" customHeight="1">
      <c r="A44" s="10" t="s">
        <v>70</v>
      </c>
      <c r="B44" s="22" t="s">
        <v>79</v>
      </c>
      <c r="C44" s="154"/>
      <c r="D44" s="168"/>
    </row>
    <row r="45" spans="1:4" ht="14.25" customHeight="1">
      <c r="A45" s="9" t="s">
        <v>71</v>
      </c>
      <c r="B45" s="22" t="s">
        <v>24</v>
      </c>
      <c r="C45" s="154"/>
      <c r="D45" s="162"/>
    </row>
    <row r="46" spans="1:4" ht="11.25" customHeight="1">
      <c r="A46" s="169" t="s">
        <v>29</v>
      </c>
      <c r="B46" s="169"/>
      <c r="C46" s="169"/>
      <c r="D46" s="169"/>
    </row>
    <row r="47" spans="1:4" ht="35.25" customHeight="1">
      <c r="A47" s="9" t="s">
        <v>30</v>
      </c>
      <c r="B47" s="22" t="s">
        <v>22</v>
      </c>
      <c r="C47" s="154">
        <v>0.91</v>
      </c>
      <c r="D47" s="152">
        <f>C47*5*B8</f>
        <v>18529.419999999998</v>
      </c>
    </row>
    <row r="48" spans="1:4" ht="38.25" customHeight="1">
      <c r="A48" s="9" t="s">
        <v>31</v>
      </c>
      <c r="B48" s="22" t="s">
        <v>22</v>
      </c>
      <c r="C48" s="154"/>
      <c r="D48" s="152"/>
    </row>
    <row r="49" spans="1:4" ht="15" customHeight="1">
      <c r="A49" s="10" t="s">
        <v>32</v>
      </c>
      <c r="B49" s="22" t="s">
        <v>22</v>
      </c>
      <c r="C49" s="154"/>
      <c r="D49" s="152"/>
    </row>
    <row r="50" spans="1:4" ht="12.75" customHeight="1">
      <c r="A50" s="167" t="s">
        <v>33</v>
      </c>
      <c r="B50" s="167"/>
      <c r="C50" s="167"/>
      <c r="D50" s="167"/>
    </row>
    <row r="51" spans="1:4" ht="29.25" customHeight="1">
      <c r="A51" s="9" t="s">
        <v>34</v>
      </c>
      <c r="B51" s="22" t="s">
        <v>77</v>
      </c>
      <c r="C51" s="154">
        <v>0.91</v>
      </c>
      <c r="D51" s="154">
        <f>C51*5*B8</f>
        <v>18529.419999999998</v>
      </c>
    </row>
    <row r="52" spans="1:4" ht="14.25" customHeight="1">
      <c r="A52" s="9" t="s">
        <v>35</v>
      </c>
      <c r="B52" s="22" t="s">
        <v>81</v>
      </c>
      <c r="C52" s="154"/>
      <c r="D52" s="154"/>
    </row>
    <row r="53" spans="1:4" ht="17.25" customHeight="1">
      <c r="A53" s="9" t="s">
        <v>36</v>
      </c>
      <c r="B53" s="22" t="s">
        <v>81</v>
      </c>
      <c r="C53" s="154"/>
      <c r="D53" s="154"/>
    </row>
    <row r="54" spans="1:4" ht="24.75" customHeight="1">
      <c r="A54" s="9" t="s">
        <v>37</v>
      </c>
      <c r="B54" s="22" t="s">
        <v>82</v>
      </c>
      <c r="C54" s="154"/>
      <c r="D54" s="154"/>
    </row>
    <row r="55" spans="1:4" ht="30" customHeight="1">
      <c r="A55" s="9" t="s">
        <v>38</v>
      </c>
      <c r="B55" s="22" t="s">
        <v>82</v>
      </c>
      <c r="C55" s="154"/>
      <c r="D55" s="154"/>
    </row>
    <row r="56" spans="1:4" ht="12.75" customHeight="1">
      <c r="A56" s="144" t="s">
        <v>95</v>
      </c>
      <c r="B56" s="6"/>
      <c r="C56" s="154"/>
      <c r="D56" s="154"/>
    </row>
    <row r="57" spans="1:4" ht="35.25" customHeight="1">
      <c r="A57" s="9" t="s">
        <v>40</v>
      </c>
      <c r="B57" s="22" t="s">
        <v>79</v>
      </c>
      <c r="C57" s="154"/>
      <c r="D57" s="154"/>
    </row>
    <row r="58" spans="1:4" ht="14.25" customHeight="1">
      <c r="A58" s="9" t="s">
        <v>41</v>
      </c>
      <c r="B58" s="22" t="s">
        <v>24</v>
      </c>
      <c r="C58" s="154"/>
      <c r="D58" s="154"/>
    </row>
    <row r="59" spans="1:4" ht="14.25" customHeight="1">
      <c r="A59" s="9" t="s">
        <v>42</v>
      </c>
      <c r="B59" s="23" t="s">
        <v>24</v>
      </c>
      <c r="C59" s="154"/>
      <c r="D59" s="154"/>
    </row>
    <row r="60" spans="1:4" ht="13.5" customHeight="1">
      <c r="A60" s="9" t="s">
        <v>43</v>
      </c>
      <c r="B60" s="23" t="s">
        <v>24</v>
      </c>
      <c r="C60" s="154"/>
      <c r="D60" s="154"/>
    </row>
    <row r="61" spans="1:4" ht="13.5" customHeight="1">
      <c r="A61" s="9" t="s">
        <v>44</v>
      </c>
      <c r="B61" s="21" t="s">
        <v>146</v>
      </c>
      <c r="C61" s="154"/>
      <c r="D61" s="154"/>
    </row>
    <row r="62" spans="1:4" ht="36.75" customHeight="1">
      <c r="A62" s="10" t="s">
        <v>45</v>
      </c>
      <c r="B62" s="22" t="s">
        <v>22</v>
      </c>
      <c r="C62" s="154"/>
      <c r="D62" s="154"/>
    </row>
    <row r="63" spans="1:4">
      <c r="A63" s="167" t="s">
        <v>46</v>
      </c>
      <c r="B63" s="167"/>
      <c r="C63" s="167"/>
      <c r="D63" s="167"/>
    </row>
    <row r="64" spans="1:4" ht="15.75" customHeight="1">
      <c r="A64" s="9" t="s">
        <v>47</v>
      </c>
      <c r="B64" s="22" t="s">
        <v>83</v>
      </c>
      <c r="C64" s="152">
        <v>0.64</v>
      </c>
      <c r="D64" s="154">
        <f>C64*B8*5+90.68</f>
        <v>13122.36</v>
      </c>
    </row>
    <row r="65" spans="1:4" ht="12.75" customHeight="1">
      <c r="A65" s="9" t="s">
        <v>48</v>
      </c>
      <c r="B65" s="22" t="s">
        <v>83</v>
      </c>
      <c r="C65" s="152"/>
      <c r="D65" s="154"/>
    </row>
    <row r="66" spans="1:4" ht="24.75" customHeight="1">
      <c r="A66" s="9" t="s">
        <v>49</v>
      </c>
      <c r="B66" s="22" t="s">
        <v>83</v>
      </c>
      <c r="C66" s="152"/>
      <c r="D66" s="154"/>
    </row>
    <row r="67" spans="1:4" ht="16.5" customHeight="1">
      <c r="A67" s="9" t="s">
        <v>50</v>
      </c>
      <c r="B67" s="22" t="s">
        <v>83</v>
      </c>
      <c r="C67" s="152"/>
      <c r="D67" s="154"/>
    </row>
    <row r="68" spans="1:4" ht="39.75" customHeight="1">
      <c r="A68" s="10" t="s">
        <v>51</v>
      </c>
      <c r="B68" s="22" t="s">
        <v>22</v>
      </c>
      <c r="C68" s="152"/>
      <c r="D68" s="154"/>
    </row>
    <row r="69" spans="1:4" ht="16.5" customHeight="1">
      <c r="A69" s="10" t="s">
        <v>52</v>
      </c>
      <c r="B69" s="23" t="s">
        <v>84</v>
      </c>
      <c r="C69" s="152"/>
      <c r="D69" s="154"/>
    </row>
    <row r="70" spans="1:4">
      <c r="A70" s="157" t="s">
        <v>85</v>
      </c>
      <c r="B70" s="158"/>
      <c r="C70" s="158"/>
      <c r="D70" s="159"/>
    </row>
    <row r="71" spans="1:4" ht="26.25" customHeight="1">
      <c r="A71" s="175" t="s">
        <v>96</v>
      </c>
      <c r="B71" s="177" t="s">
        <v>86</v>
      </c>
      <c r="C71" s="152">
        <v>2.41</v>
      </c>
      <c r="D71" s="154">
        <f>C71*B8*5</f>
        <v>49072.42</v>
      </c>
    </row>
    <row r="72" spans="1:4" ht="13.5" customHeight="1">
      <c r="A72" s="176"/>
      <c r="B72" s="177"/>
      <c r="C72" s="152"/>
      <c r="D72" s="154"/>
    </row>
    <row r="73" spans="1:4" ht="15" customHeight="1">
      <c r="A73" s="157" t="s">
        <v>55</v>
      </c>
      <c r="B73" s="158"/>
      <c r="C73" s="158"/>
      <c r="D73" s="159"/>
    </row>
    <row r="74" spans="1:4" ht="16.5" customHeight="1">
      <c r="A74" s="6" t="s">
        <v>90</v>
      </c>
      <c r="B74" s="21" t="s">
        <v>87</v>
      </c>
      <c r="C74" s="170">
        <v>2.14</v>
      </c>
      <c r="D74" s="172">
        <f>8714.96+34859.84</f>
        <v>43574.799999999996</v>
      </c>
    </row>
    <row r="75" spans="1:4">
      <c r="A75" s="6" t="s">
        <v>91</v>
      </c>
      <c r="B75" s="21" t="s">
        <v>87</v>
      </c>
      <c r="C75" s="171"/>
      <c r="D75" s="173"/>
    </row>
    <row r="76" spans="1:4" ht="15" customHeight="1">
      <c r="A76" s="6" t="s">
        <v>92</v>
      </c>
      <c r="B76" s="21" t="s">
        <v>87</v>
      </c>
      <c r="C76" s="169"/>
      <c r="D76" s="174"/>
    </row>
    <row r="77" spans="1:4" ht="38.25" customHeight="1">
      <c r="A77" s="6" t="s">
        <v>143</v>
      </c>
      <c r="B77" s="22" t="s">
        <v>22</v>
      </c>
      <c r="C77" s="143">
        <v>4.3499999999999996</v>
      </c>
      <c r="D77" s="143">
        <v>87457.65</v>
      </c>
    </row>
    <row r="78" spans="1:4" ht="18" customHeight="1">
      <c r="A78" s="6" t="s">
        <v>375</v>
      </c>
      <c r="B78" s="22"/>
      <c r="C78" s="143"/>
      <c r="D78" s="143">
        <f>-52.6*15.13*5</f>
        <v>-3979.1900000000005</v>
      </c>
    </row>
    <row r="79" spans="1:4">
      <c r="A79" s="144" t="s">
        <v>56</v>
      </c>
      <c r="B79" s="23"/>
      <c r="C79" s="28">
        <f>C77+C74+C71+C64+C51+C47+C40+C33+C29+C22+C19+C18+C17+C16+C13</f>
        <v>21.62</v>
      </c>
      <c r="D79" s="28">
        <f>D77+D74+D71+D64+D51+D47+D40+D33+D29+D22+D19+D18+D17+D16+D13+D78</f>
        <v>435220.99999999994</v>
      </c>
    </row>
    <row r="81" spans="4:4">
      <c r="D81" s="40"/>
    </row>
    <row r="82" spans="4:4">
      <c r="D82" s="40"/>
    </row>
    <row r="83" spans="4:4">
      <c r="D83" s="40"/>
    </row>
    <row r="84" spans="4:4">
      <c r="D84" s="40"/>
    </row>
  </sheetData>
  <mergeCells count="34">
    <mergeCell ref="C33:C38"/>
    <mergeCell ref="D33:D38"/>
    <mergeCell ref="A12:D12"/>
    <mergeCell ref="B13:B14"/>
    <mergeCell ref="C13:C14"/>
    <mergeCell ref="D13:D14"/>
    <mergeCell ref="A20:D20"/>
    <mergeCell ref="C22:C27"/>
    <mergeCell ref="D22:D27"/>
    <mergeCell ref="A28:D28"/>
    <mergeCell ref="C29:C30"/>
    <mergeCell ref="D29:D30"/>
    <mergeCell ref="A31:D31"/>
    <mergeCell ref="A32:D32"/>
    <mergeCell ref="A39:D39"/>
    <mergeCell ref="C40:C45"/>
    <mergeCell ref="D40:D45"/>
    <mergeCell ref="A46:D46"/>
    <mergeCell ref="C47:C49"/>
    <mergeCell ref="D47:D49"/>
    <mergeCell ref="A50:D50"/>
    <mergeCell ref="C51:C62"/>
    <mergeCell ref="D51:D62"/>
    <mergeCell ref="A63:D63"/>
    <mergeCell ref="C64:C69"/>
    <mergeCell ref="D64:D69"/>
    <mergeCell ref="C74:C76"/>
    <mergeCell ref="D74:D76"/>
    <mergeCell ref="A70:D70"/>
    <mergeCell ref="A71:A72"/>
    <mergeCell ref="B71:B72"/>
    <mergeCell ref="C71:C72"/>
    <mergeCell ref="D71:D72"/>
    <mergeCell ref="A73:D7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1"/>
  <sheetViews>
    <sheetView topLeftCell="A19" workbookViewId="0">
      <selection activeCell="D78" sqref="D78"/>
    </sheetView>
  </sheetViews>
  <sheetFormatPr defaultRowHeight="15"/>
  <cols>
    <col min="1" max="1" width="93.5703125" customWidth="1"/>
    <col min="2" max="2" width="13" customWidth="1"/>
    <col min="3" max="3" width="12.140625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367</v>
      </c>
      <c r="B2" s="2"/>
      <c r="C2" s="2"/>
      <c r="D2" s="2"/>
    </row>
    <row r="3" spans="1:4">
      <c r="A3" s="1" t="s">
        <v>368</v>
      </c>
      <c r="B3" s="2"/>
      <c r="C3" s="2"/>
      <c r="D3" s="2"/>
    </row>
    <row r="4" spans="1:4">
      <c r="A4" s="25" t="s">
        <v>58</v>
      </c>
      <c r="B4" s="2">
        <v>2001</v>
      </c>
      <c r="C4" s="2"/>
      <c r="D4" s="2"/>
    </row>
    <row r="5" spans="1:4">
      <c r="A5" s="25" t="s">
        <v>59</v>
      </c>
      <c r="B5" s="2">
        <v>5</v>
      </c>
      <c r="C5" s="2"/>
      <c r="D5" s="2"/>
    </row>
    <row r="6" spans="1:4">
      <c r="A6" s="25" t="s">
        <v>60</v>
      </c>
      <c r="B6" s="2">
        <v>6</v>
      </c>
      <c r="C6" s="2"/>
      <c r="D6" s="2"/>
    </row>
    <row r="7" spans="1:4">
      <c r="A7" s="25" t="s">
        <v>61</v>
      </c>
      <c r="B7" s="2">
        <v>80</v>
      </c>
      <c r="C7" s="2"/>
      <c r="D7" s="2"/>
    </row>
    <row r="8" spans="1:4">
      <c r="A8" s="25" t="s">
        <v>72</v>
      </c>
      <c r="B8" s="2">
        <v>5439.4</v>
      </c>
      <c r="C8" s="2"/>
      <c r="D8" s="2"/>
    </row>
    <row r="9" spans="1:4">
      <c r="A9" s="25" t="s">
        <v>62</v>
      </c>
      <c r="B9" s="2">
        <v>482.7</v>
      </c>
      <c r="C9" s="2"/>
      <c r="D9" s="2"/>
    </row>
    <row r="10" spans="1:4">
      <c r="A10" s="25" t="s">
        <v>73</v>
      </c>
      <c r="B10" s="46">
        <v>1272.0999999999999</v>
      </c>
      <c r="C10" s="2"/>
      <c r="D10" s="2"/>
    </row>
    <row r="11" spans="1:4" ht="36.75">
      <c r="A11" s="142" t="s">
        <v>1</v>
      </c>
      <c r="B11" s="142" t="s">
        <v>2</v>
      </c>
      <c r="C11" s="142" t="s">
        <v>3</v>
      </c>
      <c r="D11" s="142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1.92</v>
      </c>
      <c r="D13" s="163">
        <f>C13*5*B8</f>
        <v>52218.239999999998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103" t="s">
        <v>9</v>
      </c>
      <c r="B15" s="142"/>
      <c r="C15" s="26"/>
      <c r="D15" s="30"/>
    </row>
    <row r="16" spans="1:4">
      <c r="A16" s="103" t="s">
        <v>369</v>
      </c>
      <c r="B16" s="142" t="s">
        <v>80</v>
      </c>
      <c r="C16" s="26">
        <v>4</v>
      </c>
      <c r="D16" s="30">
        <f>C16*5*B8</f>
        <v>108788</v>
      </c>
    </row>
    <row r="17" spans="1:4">
      <c r="A17" s="165" t="s">
        <v>10</v>
      </c>
      <c r="B17" s="165"/>
      <c r="C17" s="165"/>
      <c r="D17" s="165"/>
    </row>
    <row r="18" spans="1:4" ht="13.5" customHeight="1">
      <c r="A18" s="39" t="s">
        <v>97</v>
      </c>
      <c r="B18" s="144"/>
      <c r="C18" s="144"/>
      <c r="D18" s="144"/>
    </row>
    <row r="19" spans="1:4" ht="13.5" customHeight="1">
      <c r="A19" s="6" t="s">
        <v>11</v>
      </c>
      <c r="B19" s="142" t="s">
        <v>75</v>
      </c>
      <c r="C19" s="152">
        <v>2.16</v>
      </c>
      <c r="D19" s="166">
        <f>C19*B8*5</f>
        <v>58745.52</v>
      </c>
    </row>
    <row r="20" spans="1:4" ht="12.75" customHeight="1">
      <c r="A20" s="6" t="s">
        <v>12</v>
      </c>
      <c r="B20" s="142" t="s">
        <v>75</v>
      </c>
      <c r="C20" s="152"/>
      <c r="D20" s="155"/>
    </row>
    <row r="21" spans="1:4" ht="14.25" customHeight="1">
      <c r="A21" s="6" t="s">
        <v>13</v>
      </c>
      <c r="B21" s="142" t="s">
        <v>75</v>
      </c>
      <c r="C21" s="152"/>
      <c r="D21" s="155"/>
    </row>
    <row r="22" spans="1:4" ht="13.5" customHeight="1">
      <c r="A22" s="6" t="s">
        <v>14</v>
      </c>
      <c r="B22" s="142" t="s">
        <v>76</v>
      </c>
      <c r="C22" s="152"/>
      <c r="D22" s="155"/>
    </row>
    <row r="23" spans="1:4" ht="12.75" customHeight="1">
      <c r="A23" s="39" t="s">
        <v>93</v>
      </c>
      <c r="B23" s="142"/>
      <c r="C23" s="152"/>
      <c r="D23" s="155"/>
    </row>
    <row r="24" spans="1:4" ht="30" customHeight="1">
      <c r="A24" s="6" t="s">
        <v>15</v>
      </c>
      <c r="B24" s="142" t="s">
        <v>94</v>
      </c>
      <c r="C24" s="152"/>
      <c r="D24" s="156"/>
    </row>
    <row r="25" spans="1:4" ht="12.75" customHeight="1">
      <c r="A25" s="157" t="s">
        <v>16</v>
      </c>
      <c r="B25" s="158"/>
      <c r="C25" s="158"/>
      <c r="D25" s="159"/>
    </row>
    <row r="26" spans="1:4" ht="12" customHeight="1">
      <c r="A26" s="7" t="s">
        <v>17</v>
      </c>
      <c r="B26" s="21" t="s">
        <v>78</v>
      </c>
      <c r="C26" s="152">
        <v>0.2</v>
      </c>
      <c r="D26" s="167">
        <f>C26*B8*5</f>
        <v>5439.4</v>
      </c>
    </row>
    <row r="27" spans="1:4" ht="12" customHeight="1">
      <c r="A27" s="7" t="s">
        <v>18</v>
      </c>
      <c r="B27" s="21" t="s">
        <v>77</v>
      </c>
      <c r="C27" s="152"/>
      <c r="D27" s="167"/>
    </row>
    <row r="28" spans="1:4" ht="13.5" customHeight="1">
      <c r="A28" s="157" t="s">
        <v>19</v>
      </c>
      <c r="B28" s="158"/>
      <c r="C28" s="158"/>
      <c r="D28" s="159"/>
    </row>
    <row r="29" spans="1:4">
      <c r="A29" s="167" t="s">
        <v>20</v>
      </c>
      <c r="B29" s="167"/>
      <c r="C29" s="167"/>
      <c r="D29" s="167"/>
    </row>
    <row r="30" spans="1:4" ht="37.5" customHeight="1">
      <c r="A30" s="8" t="s">
        <v>21</v>
      </c>
      <c r="B30" s="22" t="s">
        <v>79</v>
      </c>
      <c r="C30" s="152">
        <v>0.79</v>
      </c>
      <c r="D30" s="154">
        <f>C30*B8*5</f>
        <v>21485.63</v>
      </c>
    </row>
    <row r="31" spans="1:4" ht="15" customHeight="1">
      <c r="A31" s="9" t="s">
        <v>23</v>
      </c>
      <c r="B31" s="23" t="s">
        <v>80</v>
      </c>
      <c r="C31" s="152"/>
      <c r="D31" s="155"/>
    </row>
    <row r="32" spans="1:4" ht="13.5" customHeight="1">
      <c r="A32" s="9" t="s">
        <v>25</v>
      </c>
      <c r="B32" s="23" t="s">
        <v>80</v>
      </c>
      <c r="C32" s="152"/>
      <c r="D32" s="155"/>
    </row>
    <row r="33" spans="1:4" ht="36" customHeight="1">
      <c r="A33" s="9" t="s">
        <v>26</v>
      </c>
      <c r="B33" s="22" t="s">
        <v>22</v>
      </c>
      <c r="C33" s="152"/>
      <c r="D33" s="155"/>
    </row>
    <row r="34" spans="1:4" ht="14.25" customHeight="1">
      <c r="A34" s="9" t="s">
        <v>27</v>
      </c>
      <c r="B34" s="22" t="s">
        <v>24</v>
      </c>
      <c r="C34" s="152"/>
      <c r="D34" s="155"/>
    </row>
    <row r="35" spans="1:4" ht="33.75" customHeight="1">
      <c r="A35" s="24" t="s">
        <v>28</v>
      </c>
      <c r="B35" s="22" t="s">
        <v>22</v>
      </c>
      <c r="C35" s="153"/>
      <c r="D35" s="156"/>
    </row>
    <row r="36" spans="1:4" ht="15.75" customHeight="1">
      <c r="A36" s="167" t="s">
        <v>65</v>
      </c>
      <c r="B36" s="167"/>
      <c r="C36" s="167"/>
      <c r="D36" s="167"/>
    </row>
    <row r="37" spans="1:4" ht="36.75" customHeight="1">
      <c r="A37" s="9" t="s">
        <v>66</v>
      </c>
      <c r="B37" s="22" t="s">
        <v>79</v>
      </c>
      <c r="C37" s="154">
        <v>1.0900000000000001</v>
      </c>
      <c r="D37" s="152">
        <f>C37*5*B8</f>
        <v>29644.73</v>
      </c>
    </row>
    <row r="38" spans="1:4" ht="14.25" customHeight="1">
      <c r="A38" s="9" t="s">
        <v>67</v>
      </c>
      <c r="B38" s="22" t="s">
        <v>80</v>
      </c>
      <c r="C38" s="154"/>
      <c r="D38" s="168"/>
    </row>
    <row r="39" spans="1:4" ht="14.25" customHeight="1">
      <c r="A39" s="9" t="s">
        <v>68</v>
      </c>
      <c r="B39" s="22" t="s">
        <v>80</v>
      </c>
      <c r="C39" s="154"/>
      <c r="D39" s="168"/>
    </row>
    <row r="40" spans="1:4" ht="24" customHeight="1">
      <c r="A40" s="9" t="s">
        <v>69</v>
      </c>
      <c r="B40" s="22" t="s">
        <v>79</v>
      </c>
      <c r="C40" s="154"/>
      <c r="D40" s="168"/>
    </row>
    <row r="41" spans="1:4" ht="25.5" customHeight="1">
      <c r="A41" s="10" t="s">
        <v>70</v>
      </c>
      <c r="B41" s="22" t="s">
        <v>79</v>
      </c>
      <c r="C41" s="154"/>
      <c r="D41" s="168"/>
    </row>
    <row r="42" spans="1:4" ht="14.25" customHeight="1">
      <c r="A42" s="9" t="s">
        <v>71</v>
      </c>
      <c r="B42" s="22" t="s">
        <v>24</v>
      </c>
      <c r="C42" s="154"/>
      <c r="D42" s="162"/>
    </row>
    <row r="43" spans="1:4" ht="11.25" customHeight="1">
      <c r="A43" s="169" t="s">
        <v>29</v>
      </c>
      <c r="B43" s="169"/>
      <c r="C43" s="169"/>
      <c r="D43" s="169"/>
    </row>
    <row r="44" spans="1:4" ht="35.25" customHeight="1">
      <c r="A44" s="9" t="s">
        <v>30</v>
      </c>
      <c r="B44" s="22" t="s">
        <v>22</v>
      </c>
      <c r="C44" s="154">
        <v>0.91</v>
      </c>
      <c r="D44" s="152">
        <f>C44*5*B8</f>
        <v>24749.269999999997</v>
      </c>
    </row>
    <row r="45" spans="1:4" ht="38.25" customHeight="1">
      <c r="A45" s="9" t="s">
        <v>31</v>
      </c>
      <c r="B45" s="22" t="s">
        <v>22</v>
      </c>
      <c r="C45" s="154"/>
      <c r="D45" s="152"/>
    </row>
    <row r="46" spans="1:4" ht="15" customHeight="1">
      <c r="A46" s="10" t="s">
        <v>32</v>
      </c>
      <c r="B46" s="22" t="s">
        <v>22</v>
      </c>
      <c r="C46" s="154"/>
      <c r="D46" s="152"/>
    </row>
    <row r="47" spans="1:4" ht="12.75" customHeight="1">
      <c r="A47" s="167" t="s">
        <v>33</v>
      </c>
      <c r="B47" s="167"/>
      <c r="C47" s="167"/>
      <c r="D47" s="167"/>
    </row>
    <row r="48" spans="1:4" ht="29.25" customHeight="1">
      <c r="A48" s="9" t="s">
        <v>34</v>
      </c>
      <c r="B48" s="22" t="s">
        <v>77</v>
      </c>
      <c r="C48" s="154">
        <v>0.91</v>
      </c>
      <c r="D48" s="154">
        <f>C48*5*B8</f>
        <v>24749.269999999997</v>
      </c>
    </row>
    <row r="49" spans="1:4" ht="14.25" customHeight="1">
      <c r="A49" s="9" t="s">
        <v>35</v>
      </c>
      <c r="B49" s="22" t="s">
        <v>81</v>
      </c>
      <c r="C49" s="154"/>
      <c r="D49" s="154"/>
    </row>
    <row r="50" spans="1:4" ht="17.25" customHeight="1">
      <c r="A50" s="9" t="s">
        <v>36</v>
      </c>
      <c r="B50" s="22" t="s">
        <v>81</v>
      </c>
      <c r="C50" s="154"/>
      <c r="D50" s="154"/>
    </row>
    <row r="51" spans="1:4" ht="24.75" customHeight="1">
      <c r="A51" s="9" t="s">
        <v>37</v>
      </c>
      <c r="B51" s="22" t="s">
        <v>82</v>
      </c>
      <c r="C51" s="154"/>
      <c r="D51" s="154"/>
    </row>
    <row r="52" spans="1:4" ht="30" customHeight="1">
      <c r="A52" s="9" t="s">
        <v>38</v>
      </c>
      <c r="B52" s="22" t="s">
        <v>82</v>
      </c>
      <c r="C52" s="154"/>
      <c r="D52" s="154"/>
    </row>
    <row r="53" spans="1:4" ht="12.75" customHeight="1">
      <c r="A53" s="144" t="s">
        <v>95</v>
      </c>
      <c r="B53" s="6"/>
      <c r="C53" s="154"/>
      <c r="D53" s="154"/>
    </row>
    <row r="54" spans="1:4" ht="35.25" customHeight="1">
      <c r="A54" s="9" t="s">
        <v>40</v>
      </c>
      <c r="B54" s="22" t="s">
        <v>79</v>
      </c>
      <c r="C54" s="154"/>
      <c r="D54" s="154"/>
    </row>
    <row r="55" spans="1:4" ht="14.25" customHeight="1">
      <c r="A55" s="9" t="s">
        <v>41</v>
      </c>
      <c r="B55" s="22" t="s">
        <v>24</v>
      </c>
      <c r="C55" s="154"/>
      <c r="D55" s="154"/>
    </row>
    <row r="56" spans="1:4" ht="14.25" customHeight="1">
      <c r="A56" s="9" t="s">
        <v>42</v>
      </c>
      <c r="B56" s="23" t="s">
        <v>24</v>
      </c>
      <c r="C56" s="154"/>
      <c r="D56" s="154"/>
    </row>
    <row r="57" spans="1:4" ht="13.5" customHeight="1">
      <c r="A57" s="9" t="s">
        <v>43</v>
      </c>
      <c r="B57" s="23" t="s">
        <v>24</v>
      </c>
      <c r="C57" s="154"/>
      <c r="D57" s="154"/>
    </row>
    <row r="58" spans="1:4" ht="13.5" customHeight="1">
      <c r="A58" s="9" t="s">
        <v>44</v>
      </c>
      <c r="B58" s="21" t="s">
        <v>146</v>
      </c>
      <c r="C58" s="154"/>
      <c r="D58" s="154"/>
    </row>
    <row r="59" spans="1:4" ht="36.75" customHeight="1">
      <c r="A59" s="10" t="s">
        <v>45</v>
      </c>
      <c r="B59" s="22" t="s">
        <v>22</v>
      </c>
      <c r="C59" s="154"/>
      <c r="D59" s="154"/>
    </row>
    <row r="60" spans="1:4">
      <c r="A60" s="167" t="s">
        <v>46</v>
      </c>
      <c r="B60" s="167"/>
      <c r="C60" s="167"/>
      <c r="D60" s="167"/>
    </row>
    <row r="61" spans="1:4" ht="15.75" customHeight="1">
      <c r="A61" s="9" t="s">
        <v>47</v>
      </c>
      <c r="B61" s="22" t="s">
        <v>83</v>
      </c>
      <c r="C61" s="152">
        <v>0.74</v>
      </c>
      <c r="D61" s="154">
        <f>C61*B8*5+0.16</f>
        <v>20125.939999999999</v>
      </c>
    </row>
    <row r="62" spans="1:4" ht="12.75" customHeight="1">
      <c r="A62" s="9" t="s">
        <v>48</v>
      </c>
      <c r="B62" s="22" t="s">
        <v>83</v>
      </c>
      <c r="C62" s="152"/>
      <c r="D62" s="154"/>
    </row>
    <row r="63" spans="1:4" ht="24.75" customHeight="1">
      <c r="A63" s="9" t="s">
        <v>49</v>
      </c>
      <c r="B63" s="22" t="s">
        <v>83</v>
      </c>
      <c r="C63" s="152"/>
      <c r="D63" s="154"/>
    </row>
    <row r="64" spans="1:4" ht="16.5" customHeight="1">
      <c r="A64" s="9" t="s">
        <v>50</v>
      </c>
      <c r="B64" s="22" t="s">
        <v>83</v>
      </c>
      <c r="C64" s="152"/>
      <c r="D64" s="154"/>
    </row>
    <row r="65" spans="1:4" ht="39.75" customHeight="1">
      <c r="A65" s="10" t="s">
        <v>51</v>
      </c>
      <c r="B65" s="22" t="s">
        <v>22</v>
      </c>
      <c r="C65" s="152"/>
      <c r="D65" s="154"/>
    </row>
    <row r="66" spans="1:4" ht="16.5" customHeight="1">
      <c r="A66" s="10" t="s">
        <v>52</v>
      </c>
      <c r="B66" s="23" t="s">
        <v>84</v>
      </c>
      <c r="C66" s="152"/>
      <c r="D66" s="154"/>
    </row>
    <row r="67" spans="1:4">
      <c r="A67" s="157" t="s">
        <v>85</v>
      </c>
      <c r="B67" s="158"/>
      <c r="C67" s="158"/>
      <c r="D67" s="159"/>
    </row>
    <row r="68" spans="1:4" ht="26.25" customHeight="1">
      <c r="A68" s="175" t="s">
        <v>96</v>
      </c>
      <c r="B68" s="177" t="s">
        <v>86</v>
      </c>
      <c r="C68" s="152">
        <v>2.41</v>
      </c>
      <c r="D68" s="154">
        <f>C68*B8*5</f>
        <v>65544.77</v>
      </c>
    </row>
    <row r="69" spans="1:4" ht="13.5" customHeight="1">
      <c r="A69" s="176"/>
      <c r="B69" s="177"/>
      <c r="C69" s="152"/>
      <c r="D69" s="154"/>
    </row>
    <row r="70" spans="1:4" ht="15" customHeight="1">
      <c r="A70" s="157" t="s">
        <v>55</v>
      </c>
      <c r="B70" s="158"/>
      <c r="C70" s="158"/>
      <c r="D70" s="159"/>
    </row>
    <row r="71" spans="1:4" ht="16.5" customHeight="1">
      <c r="A71" s="6" t="s">
        <v>90</v>
      </c>
      <c r="B71" s="21" t="s">
        <v>87</v>
      </c>
      <c r="C71" s="170">
        <v>2.14</v>
      </c>
      <c r="D71" s="172">
        <f>11640.26+46561.04</f>
        <v>58201.3</v>
      </c>
    </row>
    <row r="72" spans="1:4">
      <c r="A72" s="6" t="s">
        <v>91</v>
      </c>
      <c r="B72" s="21" t="s">
        <v>87</v>
      </c>
      <c r="C72" s="171"/>
      <c r="D72" s="173"/>
    </row>
    <row r="73" spans="1:4" ht="15" customHeight="1">
      <c r="A73" s="6" t="s">
        <v>92</v>
      </c>
      <c r="B73" s="21" t="s">
        <v>87</v>
      </c>
      <c r="C73" s="169"/>
      <c r="D73" s="174"/>
    </row>
    <row r="74" spans="1:4" ht="38.25" customHeight="1">
      <c r="A74" s="6" t="s">
        <v>143</v>
      </c>
      <c r="B74" s="22" t="s">
        <v>22</v>
      </c>
      <c r="C74" s="143">
        <v>4.3499999999999996</v>
      </c>
      <c r="D74" s="143">
        <v>116224.3</v>
      </c>
    </row>
    <row r="75" spans="1:4" ht="18" customHeight="1">
      <c r="A75" s="6" t="s">
        <v>370</v>
      </c>
      <c r="B75" s="22"/>
      <c r="C75" s="143"/>
      <c r="D75" s="143">
        <f>-95.8*15.13*5</f>
        <v>-7247.2699999999995</v>
      </c>
    </row>
    <row r="76" spans="1:4">
      <c r="A76" s="144" t="s">
        <v>56</v>
      </c>
      <c r="B76" s="23"/>
      <c r="C76" s="28">
        <f>C74+C71+C68+C61+C48+C44+C37+C30+C26+C19+C16+C13</f>
        <v>21.619999999999997</v>
      </c>
      <c r="D76" s="28">
        <f>D74+D71+D68+D61+D48+D44+D37+D30+D26+D19+D16+D13+D75</f>
        <v>578669.10000000009</v>
      </c>
    </row>
    <row r="78" spans="1:4">
      <c r="D78" s="40"/>
    </row>
    <row r="79" spans="1:4">
      <c r="D79" s="40"/>
    </row>
    <row r="80" spans="1:4">
      <c r="D80" s="40"/>
    </row>
    <row r="81" spans="4:4">
      <c r="D81" s="40"/>
    </row>
  </sheetData>
  <mergeCells count="34">
    <mergeCell ref="C30:C35"/>
    <mergeCell ref="D30:D35"/>
    <mergeCell ref="A12:D12"/>
    <mergeCell ref="B13:B14"/>
    <mergeCell ref="C13:C14"/>
    <mergeCell ref="D13:D14"/>
    <mergeCell ref="A17:D17"/>
    <mergeCell ref="C19:C24"/>
    <mergeCell ref="D19:D24"/>
    <mergeCell ref="A25:D25"/>
    <mergeCell ref="C26:C27"/>
    <mergeCell ref="D26:D27"/>
    <mergeCell ref="A28:D28"/>
    <mergeCell ref="A29:D29"/>
    <mergeCell ref="A36:D36"/>
    <mergeCell ref="C37:C42"/>
    <mergeCell ref="D37:D42"/>
    <mergeCell ref="A43:D43"/>
    <mergeCell ref="C44:C46"/>
    <mergeCell ref="D44:D46"/>
    <mergeCell ref="A47:D47"/>
    <mergeCell ref="C48:C59"/>
    <mergeCell ref="D48:D59"/>
    <mergeCell ref="A60:D60"/>
    <mergeCell ref="C61:C66"/>
    <mergeCell ref="D61:D66"/>
    <mergeCell ref="C71:C73"/>
    <mergeCell ref="D71:D73"/>
    <mergeCell ref="A67:D67"/>
    <mergeCell ref="A68:A69"/>
    <mergeCell ref="B68:B69"/>
    <mergeCell ref="C68:C69"/>
    <mergeCell ref="D68:D69"/>
    <mergeCell ref="A70:D7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9"/>
  <sheetViews>
    <sheetView topLeftCell="A22" workbookViewId="0">
      <selection activeCell="D72" sqref="D72"/>
    </sheetView>
  </sheetViews>
  <sheetFormatPr defaultRowHeight="15"/>
  <cols>
    <col min="1" max="1" width="93.5703125" customWidth="1"/>
    <col min="2" max="2" width="13" customWidth="1"/>
    <col min="3" max="3" width="12.140625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145</v>
      </c>
      <c r="B2" s="2"/>
      <c r="C2" s="2"/>
      <c r="D2" s="2"/>
    </row>
    <row r="3" spans="1:4">
      <c r="A3" s="1" t="s">
        <v>268</v>
      </c>
      <c r="B3" s="2"/>
      <c r="C3" s="2"/>
      <c r="D3" s="2"/>
    </row>
    <row r="4" spans="1:4">
      <c r="A4" s="25" t="s">
        <v>58</v>
      </c>
      <c r="B4" s="2">
        <v>1994</v>
      </c>
      <c r="C4" s="2"/>
      <c r="D4" s="2"/>
    </row>
    <row r="5" spans="1:4">
      <c r="A5" s="25" t="s">
        <v>59</v>
      </c>
      <c r="B5" s="2">
        <v>4</v>
      </c>
      <c r="C5" s="2"/>
      <c r="D5" s="2"/>
    </row>
    <row r="6" spans="1:4">
      <c r="A6" s="25" t="s">
        <v>60</v>
      </c>
      <c r="B6" s="2">
        <v>6</v>
      </c>
      <c r="C6" s="2"/>
      <c r="D6" s="2"/>
    </row>
    <row r="7" spans="1:4">
      <c r="A7" s="25" t="s">
        <v>61</v>
      </c>
      <c r="B7" s="2">
        <v>72</v>
      </c>
      <c r="C7" s="2"/>
      <c r="D7" s="2"/>
    </row>
    <row r="8" spans="1:4">
      <c r="A8" s="25" t="s">
        <v>72</v>
      </c>
      <c r="B8" s="2">
        <v>3417.1</v>
      </c>
      <c r="C8" s="2"/>
      <c r="D8" s="2"/>
    </row>
    <row r="9" spans="1:4">
      <c r="A9" s="25" t="s">
        <v>62</v>
      </c>
      <c r="B9" s="2">
        <v>347.4</v>
      </c>
      <c r="C9" s="2"/>
      <c r="D9" s="2"/>
    </row>
    <row r="10" spans="1:4">
      <c r="A10" s="25" t="s">
        <v>73</v>
      </c>
      <c r="B10" s="46">
        <v>950.8</v>
      </c>
      <c r="C10" s="2"/>
      <c r="D10" s="2"/>
    </row>
    <row r="11" spans="1:4" ht="36.75">
      <c r="A11" s="127" t="s">
        <v>1</v>
      </c>
      <c r="B11" s="127" t="s">
        <v>2</v>
      </c>
      <c r="C11" s="127" t="s">
        <v>3</v>
      </c>
      <c r="D11" s="127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1.02</v>
      </c>
      <c r="D13" s="163">
        <f>C13*12*B8</f>
        <v>41825.303999999996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165" t="s">
        <v>10</v>
      </c>
      <c r="B15" s="165"/>
      <c r="C15" s="165"/>
      <c r="D15" s="165"/>
    </row>
    <row r="16" spans="1:4" ht="13.5" customHeight="1">
      <c r="A16" s="39" t="s">
        <v>97</v>
      </c>
      <c r="B16" s="125"/>
      <c r="C16" s="125"/>
      <c r="D16" s="125"/>
    </row>
    <row r="17" spans="1:4" ht="13.5" customHeight="1">
      <c r="A17" s="6" t="s">
        <v>11</v>
      </c>
      <c r="B17" s="127" t="s">
        <v>75</v>
      </c>
      <c r="C17" s="152">
        <v>2.16</v>
      </c>
      <c r="D17" s="166">
        <f>C17*B8*12</f>
        <v>88571.232000000004</v>
      </c>
    </row>
    <row r="18" spans="1:4" ht="12.75" customHeight="1">
      <c r="A18" s="6" t="s">
        <v>12</v>
      </c>
      <c r="B18" s="127" t="s">
        <v>75</v>
      </c>
      <c r="C18" s="152"/>
      <c r="D18" s="155"/>
    </row>
    <row r="19" spans="1:4" ht="14.25" customHeight="1">
      <c r="A19" s="6" t="s">
        <v>13</v>
      </c>
      <c r="B19" s="127" t="s">
        <v>75</v>
      </c>
      <c r="C19" s="152"/>
      <c r="D19" s="155"/>
    </row>
    <row r="20" spans="1:4" ht="13.5" customHeight="1">
      <c r="A20" s="6" t="s">
        <v>14</v>
      </c>
      <c r="B20" s="127" t="s">
        <v>76</v>
      </c>
      <c r="C20" s="152"/>
      <c r="D20" s="155"/>
    </row>
    <row r="21" spans="1:4" ht="12.75" customHeight="1">
      <c r="A21" s="39" t="s">
        <v>93</v>
      </c>
      <c r="B21" s="127"/>
      <c r="C21" s="152"/>
      <c r="D21" s="155"/>
    </row>
    <row r="22" spans="1:4" ht="30" customHeight="1">
      <c r="A22" s="6" t="s">
        <v>15</v>
      </c>
      <c r="B22" s="127" t="s">
        <v>94</v>
      </c>
      <c r="C22" s="152"/>
      <c r="D22" s="156"/>
    </row>
    <row r="23" spans="1:4" ht="12.75" customHeight="1">
      <c r="A23" s="157" t="s">
        <v>16</v>
      </c>
      <c r="B23" s="158"/>
      <c r="C23" s="158"/>
      <c r="D23" s="159"/>
    </row>
    <row r="24" spans="1:4" ht="12" customHeight="1">
      <c r="A24" s="7" t="s">
        <v>17</v>
      </c>
      <c r="B24" s="21" t="s">
        <v>78</v>
      </c>
      <c r="C24" s="152">
        <v>0.2</v>
      </c>
      <c r="D24" s="167">
        <f>C24*B8*12</f>
        <v>8201.0400000000009</v>
      </c>
    </row>
    <row r="25" spans="1:4" ht="12" customHeight="1">
      <c r="A25" s="7" t="s">
        <v>18</v>
      </c>
      <c r="B25" s="21" t="s">
        <v>77</v>
      </c>
      <c r="C25" s="152"/>
      <c r="D25" s="167"/>
    </row>
    <row r="26" spans="1:4" ht="13.5" customHeight="1">
      <c r="A26" s="157" t="s">
        <v>19</v>
      </c>
      <c r="B26" s="158"/>
      <c r="C26" s="158"/>
      <c r="D26" s="159"/>
    </row>
    <row r="27" spans="1:4">
      <c r="A27" s="167" t="s">
        <v>20</v>
      </c>
      <c r="B27" s="167"/>
      <c r="C27" s="167"/>
      <c r="D27" s="167"/>
    </row>
    <row r="28" spans="1:4" ht="37.5" customHeight="1">
      <c r="A28" s="8" t="s">
        <v>21</v>
      </c>
      <c r="B28" s="22" t="s">
        <v>79</v>
      </c>
      <c r="C28" s="152">
        <v>0.81</v>
      </c>
      <c r="D28" s="154">
        <f>C28*B8*12</f>
        <v>33214.212</v>
      </c>
    </row>
    <row r="29" spans="1:4" ht="15" customHeight="1">
      <c r="A29" s="9" t="s">
        <v>23</v>
      </c>
      <c r="B29" s="23" t="s">
        <v>80</v>
      </c>
      <c r="C29" s="152"/>
      <c r="D29" s="155"/>
    </row>
    <row r="30" spans="1:4" ht="13.5" customHeight="1">
      <c r="A30" s="9" t="s">
        <v>25</v>
      </c>
      <c r="B30" s="23" t="s">
        <v>80</v>
      </c>
      <c r="C30" s="152"/>
      <c r="D30" s="155"/>
    </row>
    <row r="31" spans="1:4" ht="36" customHeight="1">
      <c r="A31" s="9" t="s">
        <v>26</v>
      </c>
      <c r="B31" s="22" t="s">
        <v>22</v>
      </c>
      <c r="C31" s="152"/>
      <c r="D31" s="155"/>
    </row>
    <row r="32" spans="1:4" ht="14.25" customHeight="1">
      <c r="A32" s="9" t="s">
        <v>27</v>
      </c>
      <c r="B32" s="22" t="s">
        <v>24</v>
      </c>
      <c r="C32" s="152"/>
      <c r="D32" s="155"/>
    </row>
    <row r="33" spans="1:4" ht="33.75" customHeight="1">
      <c r="A33" s="24" t="s">
        <v>28</v>
      </c>
      <c r="B33" s="22" t="s">
        <v>22</v>
      </c>
      <c r="C33" s="153"/>
      <c r="D33" s="156"/>
    </row>
    <row r="34" spans="1:4" ht="15.75" customHeight="1">
      <c r="A34" s="167" t="s">
        <v>65</v>
      </c>
      <c r="B34" s="167"/>
      <c r="C34" s="167"/>
      <c r="D34" s="167"/>
    </row>
    <row r="35" spans="1:4" ht="36.75" customHeight="1">
      <c r="A35" s="9" t="s">
        <v>66</v>
      </c>
      <c r="B35" s="22" t="s">
        <v>79</v>
      </c>
      <c r="C35" s="154">
        <v>1.29</v>
      </c>
      <c r="D35" s="152">
        <f>C35*B8*12</f>
        <v>52896.707999999999</v>
      </c>
    </row>
    <row r="36" spans="1:4" ht="14.25" customHeight="1">
      <c r="A36" s="9" t="s">
        <v>67</v>
      </c>
      <c r="B36" s="22" t="s">
        <v>80</v>
      </c>
      <c r="C36" s="154"/>
      <c r="D36" s="168"/>
    </row>
    <row r="37" spans="1:4" ht="14.25" customHeight="1">
      <c r="A37" s="9" t="s">
        <v>68</v>
      </c>
      <c r="B37" s="22" t="s">
        <v>80</v>
      </c>
      <c r="C37" s="154"/>
      <c r="D37" s="168"/>
    </row>
    <row r="38" spans="1:4" ht="24" customHeight="1">
      <c r="A38" s="9" t="s">
        <v>69</v>
      </c>
      <c r="B38" s="22" t="s">
        <v>79</v>
      </c>
      <c r="C38" s="154"/>
      <c r="D38" s="168"/>
    </row>
    <row r="39" spans="1:4" ht="25.5" customHeight="1">
      <c r="A39" s="10" t="s">
        <v>70</v>
      </c>
      <c r="B39" s="22" t="s">
        <v>79</v>
      </c>
      <c r="C39" s="154"/>
      <c r="D39" s="168"/>
    </row>
    <row r="40" spans="1:4" ht="14.25" customHeight="1">
      <c r="A40" s="9" t="s">
        <v>71</v>
      </c>
      <c r="B40" s="22" t="s">
        <v>24</v>
      </c>
      <c r="C40" s="154"/>
      <c r="D40" s="162"/>
    </row>
    <row r="41" spans="1:4" ht="11.25" customHeight="1">
      <c r="A41" s="169" t="s">
        <v>29</v>
      </c>
      <c r="B41" s="169"/>
      <c r="C41" s="169"/>
      <c r="D41" s="169"/>
    </row>
    <row r="42" spans="1:4" ht="35.25" customHeight="1">
      <c r="A42" s="9" t="s">
        <v>30</v>
      </c>
      <c r="B42" s="22" t="s">
        <v>22</v>
      </c>
      <c r="C42" s="154">
        <f>0.91+0.54</f>
        <v>1.4500000000000002</v>
      </c>
      <c r="D42" s="152">
        <f>C42*12*B8</f>
        <v>59457.540000000008</v>
      </c>
    </row>
    <row r="43" spans="1:4" ht="38.25" customHeight="1">
      <c r="A43" s="9" t="s">
        <v>31</v>
      </c>
      <c r="B43" s="22" t="s">
        <v>22</v>
      </c>
      <c r="C43" s="154"/>
      <c r="D43" s="152"/>
    </row>
    <row r="44" spans="1:4" ht="15" customHeight="1">
      <c r="A44" s="10" t="s">
        <v>32</v>
      </c>
      <c r="B44" s="22" t="s">
        <v>22</v>
      </c>
      <c r="C44" s="154"/>
      <c r="D44" s="152"/>
    </row>
    <row r="45" spans="1:4" ht="12.75" customHeight="1">
      <c r="A45" s="167" t="s">
        <v>33</v>
      </c>
      <c r="B45" s="167"/>
      <c r="C45" s="167"/>
      <c r="D45" s="167"/>
    </row>
    <row r="46" spans="1:4" ht="29.25" customHeight="1">
      <c r="A46" s="9" t="s">
        <v>34</v>
      </c>
      <c r="B46" s="22" t="s">
        <v>77</v>
      </c>
      <c r="C46" s="154">
        <v>3.52</v>
      </c>
      <c r="D46" s="154">
        <f>C46*12*B8-489.91</f>
        <v>143848.394</v>
      </c>
    </row>
    <row r="47" spans="1:4" ht="14.25" customHeight="1">
      <c r="A47" s="9" t="s">
        <v>35</v>
      </c>
      <c r="B47" s="22" t="s">
        <v>81</v>
      </c>
      <c r="C47" s="154"/>
      <c r="D47" s="154"/>
    </row>
    <row r="48" spans="1:4" ht="17.25" customHeight="1">
      <c r="A48" s="9" t="s">
        <v>36</v>
      </c>
      <c r="B48" s="22" t="s">
        <v>81</v>
      </c>
      <c r="C48" s="154"/>
      <c r="D48" s="154"/>
    </row>
    <row r="49" spans="1:4" ht="24.75" customHeight="1">
      <c r="A49" s="9" t="s">
        <v>37</v>
      </c>
      <c r="B49" s="22" t="s">
        <v>82</v>
      </c>
      <c r="C49" s="154"/>
      <c r="D49" s="154"/>
    </row>
    <row r="50" spans="1:4" ht="30" customHeight="1">
      <c r="A50" s="9" t="s">
        <v>38</v>
      </c>
      <c r="B50" s="22" t="s">
        <v>82</v>
      </c>
      <c r="C50" s="154"/>
      <c r="D50" s="154"/>
    </row>
    <row r="51" spans="1:4" ht="12.75" customHeight="1">
      <c r="A51" s="125" t="s">
        <v>95</v>
      </c>
      <c r="B51" s="6"/>
      <c r="C51" s="154"/>
      <c r="D51" s="154"/>
    </row>
    <row r="52" spans="1:4" ht="35.25" customHeight="1">
      <c r="A52" s="9" t="s">
        <v>40</v>
      </c>
      <c r="B52" s="22" t="s">
        <v>79</v>
      </c>
      <c r="C52" s="154"/>
      <c r="D52" s="154"/>
    </row>
    <row r="53" spans="1:4" ht="14.25" customHeight="1">
      <c r="A53" s="9" t="s">
        <v>41</v>
      </c>
      <c r="B53" s="22" t="s">
        <v>24</v>
      </c>
      <c r="C53" s="154"/>
      <c r="D53" s="154"/>
    </row>
    <row r="54" spans="1:4" ht="14.25" customHeight="1">
      <c r="A54" s="9" t="s">
        <v>42</v>
      </c>
      <c r="B54" s="23" t="s">
        <v>24</v>
      </c>
      <c r="C54" s="154"/>
      <c r="D54" s="154"/>
    </row>
    <row r="55" spans="1:4" ht="13.5" customHeight="1">
      <c r="A55" s="9" t="s">
        <v>43</v>
      </c>
      <c r="B55" s="23" t="s">
        <v>24</v>
      </c>
      <c r="C55" s="154"/>
      <c r="D55" s="154"/>
    </row>
    <row r="56" spans="1:4" ht="13.5" customHeight="1">
      <c r="A56" s="9" t="s">
        <v>44</v>
      </c>
      <c r="B56" s="21" t="s">
        <v>146</v>
      </c>
      <c r="C56" s="154"/>
      <c r="D56" s="154"/>
    </row>
    <row r="57" spans="1:4" ht="36.75" customHeight="1">
      <c r="A57" s="10" t="s">
        <v>45</v>
      </c>
      <c r="B57" s="22" t="s">
        <v>22</v>
      </c>
      <c r="C57" s="154"/>
      <c r="D57" s="154"/>
    </row>
    <row r="58" spans="1:4">
      <c r="A58" s="167" t="s">
        <v>46</v>
      </c>
      <c r="B58" s="167"/>
      <c r="C58" s="167"/>
      <c r="D58" s="167"/>
    </row>
    <row r="59" spans="1:4" ht="15.75" customHeight="1">
      <c r="A59" s="9" t="s">
        <v>47</v>
      </c>
      <c r="B59" s="22" t="s">
        <v>83</v>
      </c>
      <c r="C59" s="152">
        <v>2.27</v>
      </c>
      <c r="D59" s="154">
        <f>C59*B8*12</f>
        <v>93081.804000000004</v>
      </c>
    </row>
    <row r="60" spans="1:4" ht="12.75" customHeight="1">
      <c r="A60" s="9" t="s">
        <v>48</v>
      </c>
      <c r="B60" s="22" t="s">
        <v>83</v>
      </c>
      <c r="C60" s="152"/>
      <c r="D60" s="154"/>
    </row>
    <row r="61" spans="1:4" ht="24.75" customHeight="1">
      <c r="A61" s="9" t="s">
        <v>49</v>
      </c>
      <c r="B61" s="22" t="s">
        <v>83</v>
      </c>
      <c r="C61" s="152"/>
      <c r="D61" s="154"/>
    </row>
    <row r="62" spans="1:4" ht="16.5" customHeight="1">
      <c r="A62" s="9" t="s">
        <v>50</v>
      </c>
      <c r="B62" s="22" t="s">
        <v>83</v>
      </c>
      <c r="C62" s="152"/>
      <c r="D62" s="154"/>
    </row>
    <row r="63" spans="1:4" ht="39.75" customHeight="1">
      <c r="A63" s="10" t="s">
        <v>51</v>
      </c>
      <c r="B63" s="22" t="s">
        <v>22</v>
      </c>
      <c r="C63" s="152"/>
      <c r="D63" s="154"/>
    </row>
    <row r="64" spans="1:4" ht="16.5" customHeight="1">
      <c r="A64" s="10" t="s">
        <v>52</v>
      </c>
      <c r="B64" s="23" t="s">
        <v>84</v>
      </c>
      <c r="C64" s="152"/>
      <c r="D64" s="154"/>
    </row>
    <row r="65" spans="1:4">
      <c r="A65" s="157" t="s">
        <v>85</v>
      </c>
      <c r="B65" s="158"/>
      <c r="C65" s="158"/>
      <c r="D65" s="159"/>
    </row>
    <row r="66" spans="1:4" ht="26.25" customHeight="1">
      <c r="A66" s="175" t="s">
        <v>96</v>
      </c>
      <c r="B66" s="177" t="s">
        <v>86</v>
      </c>
      <c r="C66" s="152">
        <v>2.41</v>
      </c>
      <c r="D66" s="154">
        <f>C66*B8*12</f>
        <v>98822.532000000007</v>
      </c>
    </row>
    <row r="67" spans="1:4" ht="13.5" customHeight="1">
      <c r="A67" s="176"/>
      <c r="B67" s="177"/>
      <c r="C67" s="152"/>
      <c r="D67" s="154"/>
    </row>
    <row r="68" spans="1:4" ht="15" customHeight="1">
      <c r="A68" s="157" t="s">
        <v>55</v>
      </c>
      <c r="B68" s="158"/>
      <c r="C68" s="158"/>
      <c r="D68" s="159"/>
    </row>
    <row r="69" spans="1:4" ht="16.5" customHeight="1">
      <c r="A69" s="6" t="s">
        <v>90</v>
      </c>
      <c r="B69" s="21" t="s">
        <v>87</v>
      </c>
      <c r="C69" s="170">
        <v>2.14</v>
      </c>
      <c r="D69" s="172">
        <f>80506+7312.56</f>
        <v>87818.559999999998</v>
      </c>
    </row>
    <row r="70" spans="1:4">
      <c r="A70" s="6" t="s">
        <v>91</v>
      </c>
      <c r="B70" s="21" t="s">
        <v>87</v>
      </c>
      <c r="C70" s="171"/>
      <c r="D70" s="173"/>
    </row>
    <row r="71" spans="1:4" ht="15" customHeight="1">
      <c r="A71" s="6" t="s">
        <v>92</v>
      </c>
      <c r="B71" s="21" t="s">
        <v>87</v>
      </c>
      <c r="C71" s="169"/>
      <c r="D71" s="174"/>
    </row>
    <row r="72" spans="1:4" ht="38.25" customHeight="1">
      <c r="A72" s="6" t="s">
        <v>143</v>
      </c>
      <c r="B72" s="22" t="s">
        <v>22</v>
      </c>
      <c r="C72" s="126">
        <v>4.3499999999999996</v>
      </c>
      <c r="D72" s="126">
        <f>C72*12*B8</f>
        <v>178372.61999999997</v>
      </c>
    </row>
    <row r="73" spans="1:4" ht="18" customHeight="1">
      <c r="A73" s="6" t="s">
        <v>169</v>
      </c>
      <c r="B73" s="22"/>
      <c r="C73" s="126"/>
      <c r="D73" s="126">
        <v>-16562.63</v>
      </c>
    </row>
    <row r="74" spans="1:4">
      <c r="A74" s="125" t="s">
        <v>56</v>
      </c>
      <c r="B74" s="23"/>
      <c r="C74" s="28">
        <f>C72+C69+C66+C59+C46+C42+C35+C28+C24+C17+C13</f>
        <v>21.619999999999997</v>
      </c>
      <c r="D74" s="28">
        <f>D72+D69+D66+D59+D46+D42+D35+D28+D24+D17+D13+D73</f>
        <v>869547.31599999988</v>
      </c>
    </row>
    <row r="76" spans="1:4">
      <c r="D76" s="40"/>
    </row>
    <row r="77" spans="1:4">
      <c r="D77" s="40"/>
    </row>
    <row r="78" spans="1:4">
      <c r="D78" s="40"/>
    </row>
    <row r="79" spans="1:4">
      <c r="D79" s="40"/>
    </row>
  </sheetData>
  <mergeCells count="34">
    <mergeCell ref="C28:C33"/>
    <mergeCell ref="D28:D33"/>
    <mergeCell ref="A12:D12"/>
    <mergeCell ref="B13:B14"/>
    <mergeCell ref="C13:C14"/>
    <mergeCell ref="D13:D14"/>
    <mergeCell ref="A15:D15"/>
    <mergeCell ref="C17:C22"/>
    <mergeCell ref="D17:D22"/>
    <mergeCell ref="A23:D23"/>
    <mergeCell ref="C24:C25"/>
    <mergeCell ref="D24:D25"/>
    <mergeCell ref="A26:D26"/>
    <mergeCell ref="A27:D27"/>
    <mergeCell ref="A34:D34"/>
    <mergeCell ref="C35:C40"/>
    <mergeCell ref="D35:D40"/>
    <mergeCell ref="A41:D41"/>
    <mergeCell ref="C42:C44"/>
    <mergeCell ref="D42:D44"/>
    <mergeCell ref="A45:D45"/>
    <mergeCell ref="C46:C57"/>
    <mergeCell ref="D46:D57"/>
    <mergeCell ref="A58:D58"/>
    <mergeCell ref="C59:C64"/>
    <mergeCell ref="D59:D64"/>
    <mergeCell ref="C69:C71"/>
    <mergeCell ref="D69:D71"/>
    <mergeCell ref="A65:D65"/>
    <mergeCell ref="A66:A67"/>
    <mergeCell ref="B66:B67"/>
    <mergeCell ref="C66:C67"/>
    <mergeCell ref="D66:D67"/>
    <mergeCell ref="A68:D6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82"/>
  <sheetViews>
    <sheetView workbookViewId="0">
      <selection activeCell="A15" sqref="A15:XFD17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5">
      <c r="A1" s="1" t="s">
        <v>0</v>
      </c>
      <c r="B1" s="2"/>
      <c r="C1" s="2"/>
      <c r="D1" s="2" t="s">
        <v>64</v>
      </c>
    </row>
    <row r="2" spans="1:5">
      <c r="A2" s="1" t="s">
        <v>306</v>
      </c>
      <c r="B2" s="2"/>
      <c r="C2" s="2"/>
      <c r="D2" s="2"/>
    </row>
    <row r="3" spans="1:5">
      <c r="A3" s="1" t="s">
        <v>268</v>
      </c>
      <c r="B3" s="2"/>
      <c r="C3" s="2"/>
      <c r="D3" s="2"/>
    </row>
    <row r="4" spans="1:5">
      <c r="A4" s="25" t="s">
        <v>58</v>
      </c>
      <c r="B4" s="2">
        <v>1986</v>
      </c>
      <c r="C4" s="2"/>
      <c r="D4" s="2"/>
    </row>
    <row r="5" spans="1:5">
      <c r="A5" s="25" t="s">
        <v>59</v>
      </c>
      <c r="B5" s="2">
        <v>5</v>
      </c>
      <c r="C5" s="2"/>
      <c r="D5" s="2"/>
    </row>
    <row r="6" spans="1:5">
      <c r="A6" s="25" t="s">
        <v>60</v>
      </c>
      <c r="B6" s="2">
        <v>8</v>
      </c>
      <c r="C6" s="2"/>
      <c r="D6" s="2"/>
    </row>
    <row r="7" spans="1:5">
      <c r="A7" s="25" t="s">
        <v>61</v>
      </c>
      <c r="B7" s="2">
        <v>110</v>
      </c>
      <c r="C7" s="2"/>
      <c r="D7" s="2"/>
    </row>
    <row r="8" spans="1:5">
      <c r="A8" s="25" t="s">
        <v>72</v>
      </c>
      <c r="B8" s="2">
        <v>6722.7</v>
      </c>
      <c r="C8" s="2"/>
      <c r="D8" s="2"/>
    </row>
    <row r="9" spans="1:5">
      <c r="A9" s="25" t="s">
        <v>62</v>
      </c>
      <c r="B9" s="2">
        <v>626.6</v>
      </c>
      <c r="C9" s="2"/>
      <c r="D9" s="2"/>
    </row>
    <row r="10" spans="1:5">
      <c r="A10" s="25" t="s">
        <v>73</v>
      </c>
      <c r="B10" s="46">
        <v>1442.1</v>
      </c>
      <c r="C10" s="2"/>
      <c r="D10" s="2"/>
    </row>
    <row r="11" spans="1:5" ht="36.75">
      <c r="A11" s="122" t="s">
        <v>1</v>
      </c>
      <c r="B11" s="122" t="s">
        <v>2</v>
      </c>
      <c r="C11" s="122" t="s">
        <v>3</v>
      </c>
      <c r="D11" s="122" t="s">
        <v>4</v>
      </c>
    </row>
    <row r="12" spans="1:5">
      <c r="A12" s="178" t="s">
        <v>5</v>
      </c>
      <c r="B12" s="158"/>
      <c r="C12" s="158"/>
      <c r="D12" s="159"/>
    </row>
    <row r="13" spans="1:5" ht="88.5" customHeight="1">
      <c r="A13" s="104" t="s">
        <v>6</v>
      </c>
      <c r="B13" s="160" t="s">
        <v>8</v>
      </c>
      <c r="C13" s="153">
        <v>1.04</v>
      </c>
      <c r="D13" s="163">
        <f>C13*12*B8</f>
        <v>83899.296000000002</v>
      </c>
    </row>
    <row r="14" spans="1:5" ht="75.75" customHeight="1">
      <c r="A14" s="103" t="s">
        <v>89</v>
      </c>
      <c r="B14" s="161"/>
      <c r="C14" s="162"/>
      <c r="D14" s="164"/>
      <c r="E14" s="116"/>
    </row>
    <row r="15" spans="1:5">
      <c r="A15" s="103" t="s">
        <v>9</v>
      </c>
      <c r="B15" s="122"/>
      <c r="C15" s="26"/>
      <c r="D15" s="30"/>
    </row>
    <row r="16" spans="1:5">
      <c r="A16" s="103" t="s">
        <v>307</v>
      </c>
      <c r="B16" s="122" t="s">
        <v>88</v>
      </c>
      <c r="C16" s="26">
        <v>0.98</v>
      </c>
      <c r="D16" s="30">
        <f>C16*12*B8</f>
        <v>79058.95199999999</v>
      </c>
    </row>
    <row r="17" spans="1:4">
      <c r="A17" s="6" t="s">
        <v>308</v>
      </c>
      <c r="B17" s="122" t="s">
        <v>303</v>
      </c>
      <c r="C17" s="44">
        <v>2.52</v>
      </c>
      <c r="D17" s="30">
        <f>C17*12*B8</f>
        <v>203294.448</v>
      </c>
    </row>
    <row r="18" spans="1:4">
      <c r="A18" s="165" t="s">
        <v>10</v>
      </c>
      <c r="B18" s="165"/>
      <c r="C18" s="165"/>
      <c r="D18" s="165"/>
    </row>
    <row r="19" spans="1:4" ht="13.5" customHeight="1">
      <c r="A19" s="39" t="s">
        <v>97</v>
      </c>
      <c r="B19" s="120"/>
      <c r="C19" s="120"/>
      <c r="D19" s="120"/>
    </row>
    <row r="20" spans="1:4" ht="13.5" customHeight="1">
      <c r="A20" s="6" t="s">
        <v>11</v>
      </c>
      <c r="B20" s="122" t="s">
        <v>75</v>
      </c>
      <c r="C20" s="152">
        <v>2.16</v>
      </c>
      <c r="D20" s="166">
        <f>C20*B8*12</f>
        <v>174252.38400000002</v>
      </c>
    </row>
    <row r="21" spans="1:4" ht="12.75" customHeight="1">
      <c r="A21" s="6" t="s">
        <v>12</v>
      </c>
      <c r="B21" s="122" t="s">
        <v>75</v>
      </c>
      <c r="C21" s="152"/>
      <c r="D21" s="155"/>
    </row>
    <row r="22" spans="1:4" ht="14.25" customHeight="1">
      <c r="A22" s="6" t="s">
        <v>13</v>
      </c>
      <c r="B22" s="122" t="s">
        <v>75</v>
      </c>
      <c r="C22" s="152"/>
      <c r="D22" s="155"/>
    </row>
    <row r="23" spans="1:4" ht="13.5" customHeight="1">
      <c r="A23" s="6" t="s">
        <v>14</v>
      </c>
      <c r="B23" s="122" t="s">
        <v>76</v>
      </c>
      <c r="C23" s="152"/>
      <c r="D23" s="155"/>
    </row>
    <row r="24" spans="1:4" ht="12.75" customHeight="1">
      <c r="A24" s="39" t="s">
        <v>93</v>
      </c>
      <c r="B24" s="122"/>
      <c r="C24" s="152"/>
      <c r="D24" s="155"/>
    </row>
    <row r="25" spans="1:4" ht="30" customHeight="1">
      <c r="A25" s="6" t="s">
        <v>15</v>
      </c>
      <c r="B25" s="122" t="s">
        <v>94</v>
      </c>
      <c r="C25" s="152"/>
      <c r="D25" s="156"/>
    </row>
    <row r="26" spans="1:4" ht="12.75" customHeight="1">
      <c r="A26" s="157" t="s">
        <v>16</v>
      </c>
      <c r="B26" s="158"/>
      <c r="C26" s="158"/>
      <c r="D26" s="159"/>
    </row>
    <row r="27" spans="1:4" ht="12" customHeight="1">
      <c r="A27" s="7" t="s">
        <v>17</v>
      </c>
      <c r="B27" s="21" t="s">
        <v>78</v>
      </c>
      <c r="C27" s="152">
        <v>0.2</v>
      </c>
      <c r="D27" s="167">
        <f>C27*B8*12</f>
        <v>16134.48</v>
      </c>
    </row>
    <row r="28" spans="1:4" ht="12" customHeight="1">
      <c r="A28" s="7" t="s">
        <v>18</v>
      </c>
      <c r="B28" s="21" t="s">
        <v>77</v>
      </c>
      <c r="C28" s="152"/>
      <c r="D28" s="167"/>
    </row>
    <row r="29" spans="1:4" ht="13.5" customHeight="1">
      <c r="A29" s="157" t="s">
        <v>19</v>
      </c>
      <c r="B29" s="158"/>
      <c r="C29" s="158"/>
      <c r="D29" s="159"/>
    </row>
    <row r="30" spans="1:4">
      <c r="A30" s="167" t="s">
        <v>20</v>
      </c>
      <c r="B30" s="167"/>
      <c r="C30" s="167"/>
      <c r="D30" s="167"/>
    </row>
    <row r="31" spans="1:4" ht="37.5" customHeight="1">
      <c r="A31" s="8" t="s">
        <v>21</v>
      </c>
      <c r="B31" s="22" t="s">
        <v>79</v>
      </c>
      <c r="C31" s="152">
        <v>0.52</v>
      </c>
      <c r="D31" s="154">
        <f>C31*12*B8</f>
        <v>41949.648000000001</v>
      </c>
    </row>
    <row r="32" spans="1:4" ht="15" customHeight="1">
      <c r="A32" s="9" t="s">
        <v>23</v>
      </c>
      <c r="B32" s="23" t="s">
        <v>80</v>
      </c>
      <c r="C32" s="152"/>
      <c r="D32" s="155"/>
    </row>
    <row r="33" spans="1:4" ht="13.5" customHeight="1">
      <c r="A33" s="9" t="s">
        <v>25</v>
      </c>
      <c r="B33" s="23" t="s">
        <v>80</v>
      </c>
      <c r="C33" s="152"/>
      <c r="D33" s="155"/>
    </row>
    <row r="34" spans="1:4" ht="36" customHeight="1">
      <c r="A34" s="9" t="s">
        <v>26</v>
      </c>
      <c r="B34" s="22" t="s">
        <v>22</v>
      </c>
      <c r="C34" s="152"/>
      <c r="D34" s="155"/>
    </row>
    <row r="35" spans="1:4" ht="14.25" customHeight="1">
      <c r="A35" s="9" t="s">
        <v>27</v>
      </c>
      <c r="B35" s="22" t="s">
        <v>24</v>
      </c>
      <c r="C35" s="152"/>
      <c r="D35" s="155"/>
    </row>
    <row r="36" spans="1:4" ht="33.75" customHeight="1">
      <c r="A36" s="24" t="s">
        <v>28</v>
      </c>
      <c r="B36" s="22" t="s">
        <v>22</v>
      </c>
      <c r="C36" s="153"/>
      <c r="D36" s="156"/>
    </row>
    <row r="37" spans="1:4" ht="15.75" customHeight="1">
      <c r="A37" s="167" t="s">
        <v>65</v>
      </c>
      <c r="B37" s="167"/>
      <c r="C37" s="167"/>
      <c r="D37" s="167"/>
    </row>
    <row r="38" spans="1:4" ht="36.75" customHeight="1">
      <c r="A38" s="9" t="s">
        <v>66</v>
      </c>
      <c r="B38" s="22" t="s">
        <v>79</v>
      </c>
      <c r="C38" s="154">
        <v>0.84</v>
      </c>
      <c r="D38" s="152">
        <f>C38*12*B8</f>
        <v>67764.815999999992</v>
      </c>
    </row>
    <row r="39" spans="1:4" ht="14.25" customHeight="1">
      <c r="A39" s="9" t="s">
        <v>67</v>
      </c>
      <c r="B39" s="22" t="s">
        <v>80</v>
      </c>
      <c r="C39" s="154"/>
      <c r="D39" s="168"/>
    </row>
    <row r="40" spans="1:4" ht="14.25" customHeight="1">
      <c r="A40" s="9" t="s">
        <v>68</v>
      </c>
      <c r="B40" s="22" t="s">
        <v>80</v>
      </c>
      <c r="C40" s="154"/>
      <c r="D40" s="168"/>
    </row>
    <row r="41" spans="1:4" ht="24" customHeight="1">
      <c r="A41" s="9" t="s">
        <v>69</v>
      </c>
      <c r="B41" s="22" t="s">
        <v>79</v>
      </c>
      <c r="C41" s="154"/>
      <c r="D41" s="168"/>
    </row>
    <row r="42" spans="1:4" ht="25.5" customHeight="1">
      <c r="A42" s="10" t="s">
        <v>70</v>
      </c>
      <c r="B42" s="22" t="s">
        <v>79</v>
      </c>
      <c r="C42" s="154"/>
      <c r="D42" s="168"/>
    </row>
    <row r="43" spans="1:4" ht="14.25" customHeight="1">
      <c r="A43" s="9" t="s">
        <v>71</v>
      </c>
      <c r="B43" s="22" t="s">
        <v>24</v>
      </c>
      <c r="C43" s="154"/>
      <c r="D43" s="162"/>
    </row>
    <row r="44" spans="1:4" ht="11.25" customHeight="1">
      <c r="A44" s="169" t="s">
        <v>29</v>
      </c>
      <c r="B44" s="169"/>
      <c r="C44" s="169"/>
      <c r="D44" s="169"/>
    </row>
    <row r="45" spans="1:4" ht="35.25" customHeight="1">
      <c r="A45" s="9" t="s">
        <v>30</v>
      </c>
      <c r="B45" s="22" t="s">
        <v>22</v>
      </c>
      <c r="C45" s="154">
        <v>0.61</v>
      </c>
      <c r="D45" s="152">
        <f>C45*12*B8</f>
        <v>49210.163999999997</v>
      </c>
    </row>
    <row r="46" spans="1:4" ht="38.25" customHeight="1">
      <c r="A46" s="9" t="s">
        <v>31</v>
      </c>
      <c r="B46" s="22" t="s">
        <v>22</v>
      </c>
      <c r="C46" s="154"/>
      <c r="D46" s="152"/>
    </row>
    <row r="47" spans="1:4" ht="15" customHeight="1">
      <c r="A47" s="10" t="s">
        <v>32</v>
      </c>
      <c r="B47" s="22" t="s">
        <v>22</v>
      </c>
      <c r="C47" s="154"/>
      <c r="D47" s="152"/>
    </row>
    <row r="48" spans="1:4" ht="12.75" customHeight="1">
      <c r="A48" s="167" t="s">
        <v>33</v>
      </c>
      <c r="B48" s="167"/>
      <c r="C48" s="167"/>
      <c r="D48" s="167"/>
    </row>
    <row r="49" spans="1:4" ht="29.25" customHeight="1">
      <c r="A49" s="9" t="s">
        <v>34</v>
      </c>
      <c r="B49" s="22" t="s">
        <v>77</v>
      </c>
      <c r="C49" s="154">
        <v>2.65</v>
      </c>
      <c r="D49" s="154">
        <f>C49*12*B8</f>
        <v>213781.86</v>
      </c>
    </row>
    <row r="50" spans="1:4" ht="14.25" customHeight="1">
      <c r="A50" s="9" t="s">
        <v>35</v>
      </c>
      <c r="B50" s="22" t="s">
        <v>81</v>
      </c>
      <c r="C50" s="154"/>
      <c r="D50" s="154"/>
    </row>
    <row r="51" spans="1:4" ht="17.25" customHeight="1">
      <c r="A51" s="9" t="s">
        <v>36</v>
      </c>
      <c r="B51" s="22" t="s">
        <v>81</v>
      </c>
      <c r="C51" s="154"/>
      <c r="D51" s="154"/>
    </row>
    <row r="52" spans="1:4" ht="24.75" customHeight="1">
      <c r="A52" s="9" t="s">
        <v>37</v>
      </c>
      <c r="B52" s="22" t="s">
        <v>82</v>
      </c>
      <c r="C52" s="154"/>
      <c r="D52" s="154"/>
    </row>
    <row r="53" spans="1:4" ht="30" customHeight="1">
      <c r="A53" s="9" t="s">
        <v>38</v>
      </c>
      <c r="B53" s="22" t="s">
        <v>82</v>
      </c>
      <c r="C53" s="154"/>
      <c r="D53" s="154"/>
    </row>
    <row r="54" spans="1:4" ht="12.75" customHeight="1">
      <c r="A54" s="120" t="s">
        <v>95</v>
      </c>
      <c r="B54" s="6"/>
      <c r="C54" s="154"/>
      <c r="D54" s="154"/>
    </row>
    <row r="55" spans="1:4" ht="35.25" customHeight="1">
      <c r="A55" s="9" t="s">
        <v>40</v>
      </c>
      <c r="B55" s="22" t="s">
        <v>79</v>
      </c>
      <c r="C55" s="154"/>
      <c r="D55" s="154"/>
    </row>
    <row r="56" spans="1:4" ht="14.25" customHeight="1">
      <c r="A56" s="9" t="s">
        <v>41</v>
      </c>
      <c r="B56" s="22" t="s">
        <v>80</v>
      </c>
      <c r="C56" s="154"/>
      <c r="D56" s="154"/>
    </row>
    <row r="57" spans="1:4" ht="14.25" customHeight="1">
      <c r="A57" s="9" t="s">
        <v>42</v>
      </c>
      <c r="B57" s="23" t="s">
        <v>80</v>
      </c>
      <c r="C57" s="154"/>
      <c r="D57" s="154"/>
    </row>
    <row r="58" spans="1:4" ht="13.5" customHeight="1">
      <c r="A58" s="9" t="s">
        <v>43</v>
      </c>
      <c r="B58" s="23" t="s">
        <v>80</v>
      </c>
      <c r="C58" s="154"/>
      <c r="D58" s="154"/>
    </row>
    <row r="59" spans="1:4" ht="13.5" customHeight="1">
      <c r="A59" s="9" t="s">
        <v>44</v>
      </c>
      <c r="B59" s="21" t="s">
        <v>236</v>
      </c>
      <c r="C59" s="154"/>
      <c r="D59" s="154"/>
    </row>
    <row r="60" spans="1:4" ht="36.75" customHeight="1">
      <c r="A60" s="10" t="s">
        <v>45</v>
      </c>
      <c r="B60" s="22" t="s">
        <v>22</v>
      </c>
      <c r="C60" s="154"/>
      <c r="D60" s="154"/>
    </row>
    <row r="61" spans="1:4">
      <c r="A61" s="167" t="s">
        <v>46</v>
      </c>
      <c r="B61" s="167"/>
      <c r="C61" s="167"/>
      <c r="D61" s="167"/>
    </row>
    <row r="62" spans="1:4" ht="15.75" customHeight="1">
      <c r="A62" s="9" t="s">
        <v>47</v>
      </c>
      <c r="B62" s="22" t="s">
        <v>83</v>
      </c>
      <c r="C62" s="153">
        <v>1.2</v>
      </c>
      <c r="D62" s="166">
        <f>C62*B8*12</f>
        <v>96806.88</v>
      </c>
    </row>
    <row r="63" spans="1:4" ht="12.75" customHeight="1">
      <c r="A63" s="9" t="s">
        <v>48</v>
      </c>
      <c r="B63" s="22" t="s">
        <v>83</v>
      </c>
      <c r="C63" s="168"/>
      <c r="D63" s="155"/>
    </row>
    <row r="64" spans="1:4" ht="24" customHeight="1">
      <c r="A64" s="9" t="s">
        <v>49</v>
      </c>
      <c r="B64" s="22" t="s">
        <v>83</v>
      </c>
      <c r="C64" s="168"/>
      <c r="D64" s="155"/>
    </row>
    <row r="65" spans="1:4" ht="16.5" customHeight="1">
      <c r="A65" s="9" t="s">
        <v>50</v>
      </c>
      <c r="B65" s="22" t="s">
        <v>83</v>
      </c>
      <c r="C65" s="168"/>
      <c r="D65" s="155"/>
    </row>
    <row r="66" spans="1:4" ht="36.75" customHeight="1">
      <c r="A66" s="10" t="s">
        <v>51</v>
      </c>
      <c r="B66" s="22" t="s">
        <v>22</v>
      </c>
      <c r="C66" s="168"/>
      <c r="D66" s="155"/>
    </row>
    <row r="67" spans="1:4" ht="16.5" customHeight="1">
      <c r="A67" s="10" t="s">
        <v>52</v>
      </c>
      <c r="B67" s="23" t="s">
        <v>84</v>
      </c>
      <c r="C67" s="162"/>
      <c r="D67" s="156"/>
    </row>
    <row r="68" spans="1:4" ht="12" customHeight="1">
      <c r="A68" s="157" t="s">
        <v>55</v>
      </c>
      <c r="B68" s="158"/>
      <c r="C68" s="158"/>
      <c r="D68" s="159"/>
    </row>
    <row r="69" spans="1:4" ht="26.25" customHeight="1">
      <c r="A69" s="175" t="s">
        <v>96</v>
      </c>
      <c r="B69" s="177" t="s">
        <v>86</v>
      </c>
      <c r="C69" s="152">
        <v>2.41</v>
      </c>
      <c r="D69" s="154">
        <f>C69*B8*12</f>
        <v>194420.484</v>
      </c>
    </row>
    <row r="70" spans="1:4" ht="3.75" customHeight="1">
      <c r="A70" s="176"/>
      <c r="B70" s="177"/>
      <c r="C70" s="152"/>
      <c r="D70" s="154"/>
    </row>
    <row r="71" spans="1:4" ht="15" customHeight="1">
      <c r="A71" s="157" t="s">
        <v>55</v>
      </c>
      <c r="B71" s="158"/>
      <c r="C71" s="158"/>
      <c r="D71" s="159"/>
    </row>
    <row r="72" spans="1:4" ht="16.5" customHeight="1">
      <c r="A72" s="6" t="s">
        <v>90</v>
      </c>
      <c r="B72" s="21" t="s">
        <v>87</v>
      </c>
      <c r="C72" s="170">
        <v>2.14</v>
      </c>
      <c r="D72" s="172">
        <f>14386.5+158251.09</f>
        <v>172637.59</v>
      </c>
    </row>
    <row r="73" spans="1:4">
      <c r="A73" s="6" t="s">
        <v>91</v>
      </c>
      <c r="B73" s="21" t="s">
        <v>87</v>
      </c>
      <c r="C73" s="171"/>
      <c r="D73" s="173"/>
    </row>
    <row r="74" spans="1:4" ht="15" customHeight="1">
      <c r="A74" s="6" t="s">
        <v>92</v>
      </c>
      <c r="B74" s="21" t="s">
        <v>87</v>
      </c>
      <c r="C74" s="169"/>
      <c r="D74" s="174"/>
    </row>
    <row r="75" spans="1:4" ht="38.25" customHeight="1">
      <c r="A75" s="6" t="s">
        <v>143</v>
      </c>
      <c r="B75" s="22" t="s">
        <v>22</v>
      </c>
      <c r="C75" s="121">
        <v>4.3499999999999996</v>
      </c>
      <c r="D75" s="121">
        <f>C75*12*B8-7.21</f>
        <v>350917.72999999992</v>
      </c>
    </row>
    <row r="76" spans="1:4">
      <c r="A76" s="120" t="s">
        <v>56</v>
      </c>
      <c r="B76" s="23"/>
      <c r="C76" s="28">
        <f>C75+C72+C69+C62+C49+C45+C38+C31+C27+C20+C17+C16+C13</f>
        <v>21.619999999999997</v>
      </c>
      <c r="D76" s="28">
        <f>D75+D72+D69+D62+D49+D45+D38+D31+D27+D20+D17+D16+D13</f>
        <v>1744128.7320000005</v>
      </c>
    </row>
    <row r="77" spans="1:4">
      <c r="C77" t="s">
        <v>201</v>
      </c>
    </row>
    <row r="78" spans="1:4">
      <c r="D78" s="40"/>
    </row>
    <row r="79" spans="1:4">
      <c r="D79" s="40"/>
    </row>
    <row r="80" spans="1:4">
      <c r="D80" s="40"/>
    </row>
    <row r="81" spans="4:4">
      <c r="D81" s="40"/>
    </row>
    <row r="82" spans="4:4">
      <c r="D82" s="40"/>
    </row>
  </sheetData>
  <mergeCells count="34">
    <mergeCell ref="C72:C74"/>
    <mergeCell ref="D72:D74"/>
    <mergeCell ref="A68:D68"/>
    <mergeCell ref="A69:A70"/>
    <mergeCell ref="B69:B70"/>
    <mergeCell ref="C69:C70"/>
    <mergeCell ref="D69:D70"/>
    <mergeCell ref="A71:D71"/>
    <mergeCell ref="A48:D48"/>
    <mergeCell ref="C49:C60"/>
    <mergeCell ref="D49:D60"/>
    <mergeCell ref="A61:D61"/>
    <mergeCell ref="C62:C67"/>
    <mergeCell ref="D62:D67"/>
    <mergeCell ref="A37:D37"/>
    <mergeCell ref="C38:C43"/>
    <mergeCell ref="D38:D43"/>
    <mergeCell ref="A44:D44"/>
    <mergeCell ref="C45:C47"/>
    <mergeCell ref="D45:D47"/>
    <mergeCell ref="C31:C36"/>
    <mergeCell ref="D31:D36"/>
    <mergeCell ref="A12:D12"/>
    <mergeCell ref="B13:B14"/>
    <mergeCell ref="C13:C14"/>
    <mergeCell ref="D13:D14"/>
    <mergeCell ref="A18:D18"/>
    <mergeCell ref="C20:C25"/>
    <mergeCell ref="D20:D25"/>
    <mergeCell ref="A26:D26"/>
    <mergeCell ref="C27:C28"/>
    <mergeCell ref="D27:D28"/>
    <mergeCell ref="A29:D29"/>
    <mergeCell ref="A30:D3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6"/>
  <sheetViews>
    <sheetView topLeftCell="A73" workbookViewId="0">
      <selection activeCell="D79" sqref="D79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1.85546875" customWidth="1"/>
    <col min="5" max="5" width="9.140625" hidden="1" customWidth="1"/>
  </cols>
  <sheetData>
    <row r="1" spans="1:5">
      <c r="A1" s="1" t="s">
        <v>0</v>
      </c>
      <c r="B1" s="2"/>
      <c r="C1" s="2"/>
      <c r="D1" s="2" t="s">
        <v>64</v>
      </c>
    </row>
    <row r="2" spans="1:5">
      <c r="A2" s="1" t="s">
        <v>300</v>
      </c>
      <c r="B2" s="2"/>
      <c r="C2" s="2"/>
      <c r="D2" s="2"/>
    </row>
    <row r="3" spans="1:5">
      <c r="A3" s="1" t="s">
        <v>268</v>
      </c>
      <c r="B3" s="2"/>
      <c r="C3" s="2"/>
      <c r="D3" s="2"/>
    </row>
    <row r="4" spans="1:5">
      <c r="A4" s="25" t="s">
        <v>58</v>
      </c>
      <c r="B4" s="2">
        <v>1978</v>
      </c>
      <c r="C4" s="2"/>
      <c r="D4" s="2"/>
    </row>
    <row r="5" spans="1:5">
      <c r="A5" s="25" t="s">
        <v>59</v>
      </c>
      <c r="B5" s="2">
        <v>5</v>
      </c>
      <c r="C5" s="2"/>
      <c r="D5" s="2"/>
    </row>
    <row r="6" spans="1:5">
      <c r="A6" s="25" t="s">
        <v>60</v>
      </c>
      <c r="B6" s="2">
        <v>8</v>
      </c>
      <c r="C6" s="2"/>
      <c r="D6" s="2"/>
    </row>
    <row r="7" spans="1:5">
      <c r="A7" s="25" t="s">
        <v>61</v>
      </c>
      <c r="B7" s="2">
        <v>94</v>
      </c>
      <c r="C7" s="2"/>
      <c r="D7" s="2"/>
    </row>
    <row r="8" spans="1:5">
      <c r="A8" s="25" t="s">
        <v>72</v>
      </c>
      <c r="B8" s="2">
        <v>4882.8999999999996</v>
      </c>
      <c r="C8" s="2"/>
      <c r="D8" s="2"/>
    </row>
    <row r="9" spans="1:5">
      <c r="A9" s="25" t="s">
        <v>62</v>
      </c>
      <c r="B9" s="2">
        <v>599.4</v>
      </c>
      <c r="C9" s="2"/>
      <c r="D9" s="2"/>
      <c r="E9">
        <f>B10+B8</f>
        <v>5210.7999999999993</v>
      </c>
    </row>
    <row r="10" spans="1:5">
      <c r="A10" s="25" t="s">
        <v>392</v>
      </c>
      <c r="B10" s="2">
        <v>327.9</v>
      </c>
      <c r="C10" s="2"/>
      <c r="D10" s="2"/>
    </row>
    <row r="11" spans="1:5">
      <c r="A11" s="25" t="s">
        <v>73</v>
      </c>
      <c r="B11" s="46">
        <v>1151.7</v>
      </c>
      <c r="C11" s="2"/>
      <c r="D11" s="2"/>
    </row>
    <row r="12" spans="1:5" ht="36.75">
      <c r="A12" s="122" t="s">
        <v>1</v>
      </c>
      <c r="B12" s="122" t="s">
        <v>2</v>
      </c>
      <c r="C12" s="122" t="s">
        <v>3</v>
      </c>
      <c r="D12" s="122" t="s">
        <v>4</v>
      </c>
    </row>
    <row r="13" spans="1:5">
      <c r="A13" s="178" t="s">
        <v>5</v>
      </c>
      <c r="B13" s="158"/>
      <c r="C13" s="158"/>
      <c r="D13" s="159"/>
    </row>
    <row r="14" spans="1:5" ht="88.5" customHeight="1">
      <c r="A14" s="104" t="s">
        <v>6</v>
      </c>
      <c r="B14" s="160" t="s">
        <v>8</v>
      </c>
      <c r="C14" s="153">
        <v>1.04</v>
      </c>
      <c r="D14" s="163">
        <f>C14*12*E9</f>
        <v>65030.783999999992</v>
      </c>
    </row>
    <row r="15" spans="1:5" ht="75.75" customHeight="1">
      <c r="A15" s="103" t="s">
        <v>89</v>
      </c>
      <c r="B15" s="161"/>
      <c r="C15" s="162"/>
      <c r="D15" s="164"/>
      <c r="E15" s="116"/>
    </row>
    <row r="16" spans="1:5">
      <c r="A16" s="103" t="s">
        <v>9</v>
      </c>
      <c r="B16" s="122"/>
      <c r="C16" s="26"/>
      <c r="D16" s="30"/>
    </row>
    <row r="17" spans="1:4">
      <c r="A17" s="103" t="s">
        <v>301</v>
      </c>
      <c r="B17" s="122" t="s">
        <v>88</v>
      </c>
      <c r="C17" s="26">
        <v>0.11</v>
      </c>
      <c r="D17" s="30">
        <f>C17*12*E9</f>
        <v>6878.2559999999994</v>
      </c>
    </row>
    <row r="18" spans="1:4">
      <c r="A18" s="6" t="s">
        <v>302</v>
      </c>
      <c r="B18" s="122" t="s">
        <v>303</v>
      </c>
      <c r="C18" s="44">
        <v>2.93</v>
      </c>
      <c r="D18" s="30">
        <f>C18*12*E9</f>
        <v>183211.728</v>
      </c>
    </row>
    <row r="19" spans="1:4">
      <c r="A19" s="6" t="s">
        <v>304</v>
      </c>
      <c r="B19" s="122" t="s">
        <v>105</v>
      </c>
      <c r="C19" s="44">
        <v>0.32</v>
      </c>
      <c r="D19" s="30">
        <f>C19*12*E9</f>
        <v>20009.471999999998</v>
      </c>
    </row>
    <row r="20" spans="1:4">
      <c r="A20" s="6" t="s">
        <v>305</v>
      </c>
      <c r="B20" s="122" t="s">
        <v>88</v>
      </c>
      <c r="C20" s="44">
        <v>0.14000000000000001</v>
      </c>
      <c r="D20" s="30">
        <f>C20*12*E9</f>
        <v>8754.1440000000002</v>
      </c>
    </row>
    <row r="21" spans="1:4">
      <c r="A21" s="165" t="s">
        <v>10</v>
      </c>
      <c r="B21" s="165"/>
      <c r="C21" s="165"/>
      <c r="D21" s="165"/>
    </row>
    <row r="22" spans="1:4" ht="13.5" customHeight="1">
      <c r="A22" s="39" t="s">
        <v>97</v>
      </c>
      <c r="B22" s="120"/>
      <c r="C22" s="120"/>
      <c r="D22" s="120"/>
    </row>
    <row r="23" spans="1:4" ht="13.5" customHeight="1">
      <c r="A23" s="6" t="s">
        <v>11</v>
      </c>
      <c r="B23" s="122" t="s">
        <v>75</v>
      </c>
      <c r="C23" s="152">
        <v>2.16</v>
      </c>
      <c r="D23" s="166">
        <f>C23*E9*12</f>
        <v>135063.93599999999</v>
      </c>
    </row>
    <row r="24" spans="1:4" ht="12.75" customHeight="1">
      <c r="A24" s="6" t="s">
        <v>12</v>
      </c>
      <c r="B24" s="122" t="s">
        <v>75</v>
      </c>
      <c r="C24" s="152"/>
      <c r="D24" s="155"/>
    </row>
    <row r="25" spans="1:4" ht="14.25" customHeight="1">
      <c r="A25" s="6" t="s">
        <v>13</v>
      </c>
      <c r="B25" s="122" t="s">
        <v>75</v>
      </c>
      <c r="C25" s="152"/>
      <c r="D25" s="155"/>
    </row>
    <row r="26" spans="1:4" ht="13.5" customHeight="1">
      <c r="A26" s="6" t="s">
        <v>14</v>
      </c>
      <c r="B26" s="122" t="s">
        <v>76</v>
      </c>
      <c r="C26" s="152"/>
      <c r="D26" s="155"/>
    </row>
    <row r="27" spans="1:4" ht="12.75" customHeight="1">
      <c r="A27" s="39" t="s">
        <v>93</v>
      </c>
      <c r="B27" s="122"/>
      <c r="C27" s="152"/>
      <c r="D27" s="155"/>
    </row>
    <row r="28" spans="1:4" ht="30" customHeight="1">
      <c r="A28" s="6" t="s">
        <v>15</v>
      </c>
      <c r="B28" s="122" t="s">
        <v>94</v>
      </c>
      <c r="C28" s="152"/>
      <c r="D28" s="156"/>
    </row>
    <row r="29" spans="1:4" ht="12.75" customHeight="1">
      <c r="A29" s="157" t="s">
        <v>16</v>
      </c>
      <c r="B29" s="158"/>
      <c r="C29" s="158"/>
      <c r="D29" s="159"/>
    </row>
    <row r="30" spans="1:4" ht="12" customHeight="1">
      <c r="A30" s="7" t="s">
        <v>17</v>
      </c>
      <c r="B30" s="21" t="s">
        <v>78</v>
      </c>
      <c r="C30" s="152">
        <v>0.2</v>
      </c>
      <c r="D30" s="167">
        <f>C30*E9*12</f>
        <v>12505.919999999998</v>
      </c>
    </row>
    <row r="31" spans="1:4" ht="12" customHeight="1">
      <c r="A31" s="7" t="s">
        <v>18</v>
      </c>
      <c r="B31" s="21" t="s">
        <v>77</v>
      </c>
      <c r="C31" s="152"/>
      <c r="D31" s="167"/>
    </row>
    <row r="32" spans="1:4" ht="13.5" customHeight="1">
      <c r="A32" s="157" t="s">
        <v>19</v>
      </c>
      <c r="B32" s="158"/>
      <c r="C32" s="158"/>
      <c r="D32" s="159"/>
    </row>
    <row r="33" spans="1:4">
      <c r="A33" s="167" t="s">
        <v>20</v>
      </c>
      <c r="B33" s="167"/>
      <c r="C33" s="167"/>
      <c r="D33" s="167"/>
    </row>
    <row r="34" spans="1:4" ht="37.5" customHeight="1">
      <c r="A34" s="8" t="s">
        <v>21</v>
      </c>
      <c r="B34" s="22" t="s">
        <v>79</v>
      </c>
      <c r="C34" s="152">
        <v>0.52</v>
      </c>
      <c r="D34" s="154">
        <f>C34*12*E9</f>
        <v>32515.391999999996</v>
      </c>
    </row>
    <row r="35" spans="1:4" ht="15" customHeight="1">
      <c r="A35" s="9" t="s">
        <v>23</v>
      </c>
      <c r="B35" s="23" t="s">
        <v>80</v>
      </c>
      <c r="C35" s="152"/>
      <c r="D35" s="155"/>
    </row>
    <row r="36" spans="1:4" ht="13.5" customHeight="1">
      <c r="A36" s="9" t="s">
        <v>25</v>
      </c>
      <c r="B36" s="23" t="s">
        <v>80</v>
      </c>
      <c r="C36" s="152"/>
      <c r="D36" s="155"/>
    </row>
    <row r="37" spans="1:4" ht="36" customHeight="1">
      <c r="A37" s="9" t="s">
        <v>26</v>
      </c>
      <c r="B37" s="22" t="s">
        <v>22</v>
      </c>
      <c r="C37" s="152"/>
      <c r="D37" s="155"/>
    </row>
    <row r="38" spans="1:4" ht="14.25" customHeight="1">
      <c r="A38" s="9" t="s">
        <v>27</v>
      </c>
      <c r="B38" s="22" t="s">
        <v>24</v>
      </c>
      <c r="C38" s="152"/>
      <c r="D38" s="155"/>
    </row>
    <row r="39" spans="1:4" ht="33.75" customHeight="1">
      <c r="A39" s="24" t="s">
        <v>28</v>
      </c>
      <c r="B39" s="22" t="s">
        <v>22</v>
      </c>
      <c r="C39" s="153"/>
      <c r="D39" s="156"/>
    </row>
    <row r="40" spans="1:4" ht="15.75" customHeight="1">
      <c r="A40" s="167" t="s">
        <v>65</v>
      </c>
      <c r="B40" s="167"/>
      <c r="C40" s="167"/>
      <c r="D40" s="167"/>
    </row>
    <row r="41" spans="1:4" ht="36.75" customHeight="1">
      <c r="A41" s="9" t="s">
        <v>66</v>
      </c>
      <c r="B41" s="22" t="s">
        <v>79</v>
      </c>
      <c r="C41" s="154">
        <v>0.84</v>
      </c>
      <c r="D41" s="152">
        <f>C41*12*E9</f>
        <v>52524.863999999994</v>
      </c>
    </row>
    <row r="42" spans="1:4" ht="14.25" customHeight="1">
      <c r="A42" s="9" t="s">
        <v>67</v>
      </c>
      <c r="B42" s="22" t="s">
        <v>80</v>
      </c>
      <c r="C42" s="154"/>
      <c r="D42" s="168"/>
    </row>
    <row r="43" spans="1:4" ht="14.25" customHeight="1">
      <c r="A43" s="9" t="s">
        <v>68</v>
      </c>
      <c r="B43" s="22" t="s">
        <v>80</v>
      </c>
      <c r="C43" s="154"/>
      <c r="D43" s="168"/>
    </row>
    <row r="44" spans="1:4" ht="24" customHeight="1">
      <c r="A44" s="9" t="s">
        <v>69</v>
      </c>
      <c r="B44" s="22" t="s">
        <v>79</v>
      </c>
      <c r="C44" s="154"/>
      <c r="D44" s="168"/>
    </row>
    <row r="45" spans="1:4" ht="25.5" customHeight="1">
      <c r="A45" s="10" t="s">
        <v>70</v>
      </c>
      <c r="B45" s="22" t="s">
        <v>79</v>
      </c>
      <c r="C45" s="154"/>
      <c r="D45" s="168"/>
    </row>
    <row r="46" spans="1:4" ht="14.25" customHeight="1">
      <c r="A46" s="9" t="s">
        <v>71</v>
      </c>
      <c r="B46" s="22" t="s">
        <v>24</v>
      </c>
      <c r="C46" s="154"/>
      <c r="D46" s="162"/>
    </row>
    <row r="47" spans="1:4" ht="11.25" customHeight="1">
      <c r="A47" s="169" t="s">
        <v>29</v>
      </c>
      <c r="B47" s="169"/>
      <c r="C47" s="169"/>
      <c r="D47" s="169"/>
    </row>
    <row r="48" spans="1:4" ht="35.25" customHeight="1">
      <c r="A48" s="9" t="s">
        <v>30</v>
      </c>
      <c r="B48" s="22" t="s">
        <v>22</v>
      </c>
      <c r="C48" s="154">
        <v>0.61</v>
      </c>
      <c r="D48" s="152">
        <f>C48*12*E9</f>
        <v>38143.055999999997</v>
      </c>
    </row>
    <row r="49" spans="1:4" ht="38.25" customHeight="1">
      <c r="A49" s="9" t="s">
        <v>31</v>
      </c>
      <c r="B49" s="22" t="s">
        <v>22</v>
      </c>
      <c r="C49" s="154"/>
      <c r="D49" s="152"/>
    </row>
    <row r="50" spans="1:4" ht="15" customHeight="1">
      <c r="A50" s="10" t="s">
        <v>32</v>
      </c>
      <c r="B50" s="22" t="s">
        <v>22</v>
      </c>
      <c r="C50" s="154"/>
      <c r="D50" s="152"/>
    </row>
    <row r="51" spans="1:4" ht="12.75" customHeight="1">
      <c r="A51" s="167" t="s">
        <v>33</v>
      </c>
      <c r="B51" s="167"/>
      <c r="C51" s="167"/>
      <c r="D51" s="167"/>
    </row>
    <row r="52" spans="1:4" ht="29.25" customHeight="1">
      <c r="A52" s="9" t="s">
        <v>34</v>
      </c>
      <c r="B52" s="22" t="s">
        <v>77</v>
      </c>
      <c r="C52" s="154">
        <v>2.65</v>
      </c>
      <c r="D52" s="154">
        <f>C52*12*E9</f>
        <v>165703.43999999997</v>
      </c>
    </row>
    <row r="53" spans="1:4" ht="14.25" customHeight="1">
      <c r="A53" s="9" t="s">
        <v>35</v>
      </c>
      <c r="B53" s="22" t="s">
        <v>81</v>
      </c>
      <c r="C53" s="154"/>
      <c r="D53" s="154"/>
    </row>
    <row r="54" spans="1:4" ht="17.25" customHeight="1">
      <c r="A54" s="9" t="s">
        <v>36</v>
      </c>
      <c r="B54" s="22" t="s">
        <v>81</v>
      </c>
      <c r="C54" s="154"/>
      <c r="D54" s="154"/>
    </row>
    <row r="55" spans="1:4" ht="24.75" customHeight="1">
      <c r="A55" s="9" t="s">
        <v>37</v>
      </c>
      <c r="B55" s="22" t="s">
        <v>82</v>
      </c>
      <c r="C55" s="154"/>
      <c r="D55" s="154"/>
    </row>
    <row r="56" spans="1:4" ht="30" customHeight="1">
      <c r="A56" s="9" t="s">
        <v>38</v>
      </c>
      <c r="B56" s="22" t="s">
        <v>82</v>
      </c>
      <c r="C56" s="154"/>
      <c r="D56" s="154"/>
    </row>
    <row r="57" spans="1:4" ht="12.75" customHeight="1">
      <c r="A57" s="120" t="s">
        <v>95</v>
      </c>
      <c r="B57" s="6"/>
      <c r="C57" s="154"/>
      <c r="D57" s="154"/>
    </row>
    <row r="58" spans="1:4" ht="35.25" customHeight="1">
      <c r="A58" s="9" t="s">
        <v>40</v>
      </c>
      <c r="B58" s="22" t="s">
        <v>79</v>
      </c>
      <c r="C58" s="154"/>
      <c r="D58" s="154"/>
    </row>
    <row r="59" spans="1:4" ht="14.25" customHeight="1">
      <c r="A59" s="9" t="s">
        <v>41</v>
      </c>
      <c r="B59" s="22" t="s">
        <v>80</v>
      </c>
      <c r="C59" s="154"/>
      <c r="D59" s="154"/>
    </row>
    <row r="60" spans="1:4" ht="14.25" customHeight="1">
      <c r="A60" s="9" t="s">
        <v>42</v>
      </c>
      <c r="B60" s="23" t="s">
        <v>80</v>
      </c>
      <c r="C60" s="154"/>
      <c r="D60" s="154"/>
    </row>
    <row r="61" spans="1:4" ht="13.5" customHeight="1">
      <c r="A61" s="9" t="s">
        <v>43</v>
      </c>
      <c r="B61" s="23" t="s">
        <v>80</v>
      </c>
      <c r="C61" s="154"/>
      <c r="D61" s="154"/>
    </row>
    <row r="62" spans="1:4" ht="13.5" customHeight="1">
      <c r="A62" s="9" t="s">
        <v>44</v>
      </c>
      <c r="B62" s="21" t="s">
        <v>236</v>
      </c>
      <c r="C62" s="154"/>
      <c r="D62" s="154"/>
    </row>
    <row r="63" spans="1:4" ht="36.75" customHeight="1">
      <c r="A63" s="10" t="s">
        <v>45</v>
      </c>
      <c r="B63" s="22" t="s">
        <v>22</v>
      </c>
      <c r="C63" s="154"/>
      <c r="D63" s="154"/>
    </row>
    <row r="64" spans="1:4">
      <c r="A64" s="167" t="s">
        <v>46</v>
      </c>
      <c r="B64" s="167"/>
      <c r="C64" s="167"/>
      <c r="D64" s="167"/>
    </row>
    <row r="65" spans="1:4" ht="15.75" customHeight="1">
      <c r="A65" s="9" t="s">
        <v>47</v>
      </c>
      <c r="B65" s="22" t="s">
        <v>83</v>
      </c>
      <c r="C65" s="153">
        <v>1.2</v>
      </c>
      <c r="D65" s="166">
        <f>C65*E9*12+0.29</f>
        <v>75035.809999999983</v>
      </c>
    </row>
    <row r="66" spans="1:4" ht="12.75" customHeight="1">
      <c r="A66" s="9" t="s">
        <v>48</v>
      </c>
      <c r="B66" s="22" t="s">
        <v>83</v>
      </c>
      <c r="C66" s="168"/>
      <c r="D66" s="155"/>
    </row>
    <row r="67" spans="1:4" ht="24" customHeight="1">
      <c r="A67" s="9" t="s">
        <v>49</v>
      </c>
      <c r="B67" s="22" t="s">
        <v>83</v>
      </c>
      <c r="C67" s="168"/>
      <c r="D67" s="155"/>
    </row>
    <row r="68" spans="1:4" ht="16.5" customHeight="1">
      <c r="A68" s="9" t="s">
        <v>50</v>
      </c>
      <c r="B68" s="22" t="s">
        <v>83</v>
      </c>
      <c r="C68" s="168"/>
      <c r="D68" s="155"/>
    </row>
    <row r="69" spans="1:4" ht="36.75" customHeight="1">
      <c r="A69" s="10" t="s">
        <v>51</v>
      </c>
      <c r="B69" s="22" t="s">
        <v>22</v>
      </c>
      <c r="C69" s="168"/>
      <c r="D69" s="155"/>
    </row>
    <row r="70" spans="1:4" ht="16.5" customHeight="1">
      <c r="A70" s="10" t="s">
        <v>52</v>
      </c>
      <c r="B70" s="23" t="s">
        <v>84</v>
      </c>
      <c r="C70" s="162"/>
      <c r="D70" s="156"/>
    </row>
    <row r="71" spans="1:4" ht="12" customHeight="1">
      <c r="A71" s="157" t="s">
        <v>55</v>
      </c>
      <c r="B71" s="158"/>
      <c r="C71" s="158"/>
      <c r="D71" s="159"/>
    </row>
    <row r="72" spans="1:4" ht="26.25" customHeight="1">
      <c r="A72" s="175" t="s">
        <v>96</v>
      </c>
      <c r="B72" s="177" t="s">
        <v>86</v>
      </c>
      <c r="C72" s="152">
        <v>2.41</v>
      </c>
      <c r="D72" s="154">
        <f>C72*E9*12</f>
        <v>150696.33599999998</v>
      </c>
    </row>
    <row r="73" spans="1:4" ht="3.75" customHeight="1">
      <c r="A73" s="176"/>
      <c r="B73" s="177"/>
      <c r="C73" s="152"/>
      <c r="D73" s="154"/>
    </row>
    <row r="74" spans="1:4" ht="15" customHeight="1">
      <c r="A74" s="157" t="s">
        <v>55</v>
      </c>
      <c r="B74" s="158"/>
      <c r="C74" s="158"/>
      <c r="D74" s="159"/>
    </row>
    <row r="75" spans="1:4" ht="16.5" customHeight="1">
      <c r="A75" s="6" t="s">
        <v>90</v>
      </c>
      <c r="B75" s="21" t="s">
        <v>87</v>
      </c>
      <c r="C75" s="170">
        <v>2.14</v>
      </c>
      <c r="D75" s="172">
        <f>C75*12*E9</f>
        <v>133813.34399999998</v>
      </c>
    </row>
    <row r="76" spans="1:4">
      <c r="A76" s="6" t="s">
        <v>91</v>
      </c>
      <c r="B76" s="21" t="s">
        <v>87</v>
      </c>
      <c r="C76" s="171"/>
      <c r="D76" s="173"/>
    </row>
    <row r="77" spans="1:4" ht="15" customHeight="1">
      <c r="A77" s="6" t="s">
        <v>92</v>
      </c>
      <c r="B77" s="21" t="s">
        <v>87</v>
      </c>
      <c r="C77" s="169"/>
      <c r="D77" s="174"/>
    </row>
    <row r="78" spans="1:4" ht="38.25" customHeight="1">
      <c r="A78" s="6" t="s">
        <v>143</v>
      </c>
      <c r="B78" s="22" t="s">
        <v>22</v>
      </c>
      <c r="C78" s="121">
        <v>4.3499999999999996</v>
      </c>
      <c r="D78" s="121">
        <f>C78*12*E9+2.64</f>
        <v>272006.39999999997</v>
      </c>
    </row>
    <row r="79" spans="1:4" ht="18" customHeight="1">
      <c r="A79" s="6" t="s">
        <v>311</v>
      </c>
      <c r="B79" s="22"/>
      <c r="C79" s="124"/>
      <c r="D79" s="124">
        <f>-31.9*19.48*12</f>
        <v>-7456.9440000000004</v>
      </c>
    </row>
    <row r="80" spans="1:4">
      <c r="A80" s="120" t="s">
        <v>56</v>
      </c>
      <c r="B80" s="23"/>
      <c r="C80" s="28">
        <f>C78+C75+C72+C65+C52+C48+C41+C34+C30+C23+C20+C19+C18+C17+C14</f>
        <v>21.619999999999997</v>
      </c>
      <c r="D80" s="28">
        <f>D78+D75+D72+D65+D52+D48+D41+D34+D30+D23+D20+D19+D18+D17+D14+D79</f>
        <v>1344435.9379999998</v>
      </c>
    </row>
    <row r="81" spans="3:4">
      <c r="C81" t="s">
        <v>201</v>
      </c>
    </row>
    <row r="82" spans="3:4">
      <c r="D82" s="40"/>
    </row>
    <row r="83" spans="3:4">
      <c r="D83" s="40"/>
    </row>
    <row r="84" spans="3:4">
      <c r="D84" s="40"/>
    </row>
    <row r="85" spans="3:4">
      <c r="D85" s="40"/>
    </row>
    <row r="86" spans="3:4">
      <c r="D86" s="40"/>
    </row>
  </sheetData>
  <mergeCells count="34">
    <mergeCell ref="C75:C77"/>
    <mergeCell ref="D75:D77"/>
    <mergeCell ref="A71:D71"/>
    <mergeCell ref="A72:A73"/>
    <mergeCell ref="B72:B73"/>
    <mergeCell ref="C72:C73"/>
    <mergeCell ref="D72:D73"/>
    <mergeCell ref="A74:D74"/>
    <mergeCell ref="A51:D51"/>
    <mergeCell ref="C52:C63"/>
    <mergeCell ref="D52:D63"/>
    <mergeCell ref="A64:D64"/>
    <mergeCell ref="C65:C70"/>
    <mergeCell ref="D65:D70"/>
    <mergeCell ref="A40:D40"/>
    <mergeCell ref="C41:C46"/>
    <mergeCell ref="D41:D46"/>
    <mergeCell ref="A47:D47"/>
    <mergeCell ref="C48:C50"/>
    <mergeCell ref="D48:D50"/>
    <mergeCell ref="C34:C39"/>
    <mergeCell ref="D34:D39"/>
    <mergeCell ref="A13:D13"/>
    <mergeCell ref="B14:B15"/>
    <mergeCell ref="C14:C15"/>
    <mergeCell ref="D14:D15"/>
    <mergeCell ref="A21:D21"/>
    <mergeCell ref="C23:C28"/>
    <mergeCell ref="D23:D28"/>
    <mergeCell ref="A29:D29"/>
    <mergeCell ref="C30:C31"/>
    <mergeCell ref="D30:D31"/>
    <mergeCell ref="A32:D32"/>
    <mergeCell ref="A33:D3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84"/>
  <sheetViews>
    <sheetView workbookViewId="0">
      <selection activeCell="D83" sqref="D83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5">
      <c r="A1" s="1" t="s">
        <v>0</v>
      </c>
      <c r="B1" s="2"/>
      <c r="C1" s="2"/>
      <c r="D1" s="2" t="s">
        <v>64</v>
      </c>
    </row>
    <row r="2" spans="1:5">
      <c r="A2" s="1" t="s">
        <v>297</v>
      </c>
      <c r="B2" s="2"/>
      <c r="C2" s="2"/>
      <c r="D2" s="2"/>
    </row>
    <row r="3" spans="1:5">
      <c r="A3" s="1" t="s">
        <v>268</v>
      </c>
      <c r="B3" s="2"/>
      <c r="C3" s="2"/>
      <c r="D3" s="2"/>
    </row>
    <row r="4" spans="1:5">
      <c r="A4" s="25" t="s">
        <v>58</v>
      </c>
      <c r="B4" s="2">
        <v>1988</v>
      </c>
      <c r="C4" s="2"/>
      <c r="D4" s="2"/>
    </row>
    <row r="5" spans="1:5">
      <c r="A5" s="25" t="s">
        <v>59</v>
      </c>
      <c r="B5" s="2">
        <v>5</v>
      </c>
      <c r="C5" s="2"/>
      <c r="D5" s="2"/>
    </row>
    <row r="6" spans="1:5">
      <c r="A6" s="25" t="s">
        <v>60</v>
      </c>
      <c r="B6" s="2">
        <v>6</v>
      </c>
      <c r="C6" s="2"/>
      <c r="D6" s="2"/>
    </row>
    <row r="7" spans="1:5">
      <c r="A7" s="25" t="s">
        <v>61</v>
      </c>
      <c r="B7" s="2">
        <v>79</v>
      </c>
      <c r="C7" s="2"/>
      <c r="D7" s="2"/>
    </row>
    <row r="8" spans="1:5">
      <c r="A8" s="25" t="s">
        <v>72</v>
      </c>
      <c r="B8" s="2">
        <v>4613.2</v>
      </c>
      <c r="C8" s="2"/>
      <c r="D8" s="2"/>
    </row>
    <row r="9" spans="1:5">
      <c r="A9" s="25" t="s">
        <v>62</v>
      </c>
      <c r="B9" s="2">
        <v>494.1</v>
      </c>
      <c r="C9" s="2"/>
      <c r="D9" s="2"/>
    </row>
    <row r="10" spans="1:5">
      <c r="A10" s="25" t="s">
        <v>73</v>
      </c>
      <c r="B10" s="46">
        <v>985.1</v>
      </c>
      <c r="C10" s="2"/>
      <c r="D10" s="2"/>
    </row>
    <row r="11" spans="1:5" ht="36.75">
      <c r="A11" s="122" t="s">
        <v>1</v>
      </c>
      <c r="B11" s="122" t="s">
        <v>2</v>
      </c>
      <c r="C11" s="122" t="s">
        <v>3</v>
      </c>
      <c r="D11" s="122" t="s">
        <v>4</v>
      </c>
    </row>
    <row r="12" spans="1:5">
      <c r="A12" s="178" t="s">
        <v>5</v>
      </c>
      <c r="B12" s="158"/>
      <c r="C12" s="158"/>
      <c r="D12" s="159"/>
    </row>
    <row r="13" spans="1:5" ht="88.5" customHeight="1">
      <c r="A13" s="104" t="s">
        <v>6</v>
      </c>
      <c r="B13" s="160" t="s">
        <v>8</v>
      </c>
      <c r="C13" s="153">
        <v>1.04</v>
      </c>
      <c r="D13" s="163">
        <f>C13*12*B8</f>
        <v>57572.735999999997</v>
      </c>
    </row>
    <row r="14" spans="1:5" ht="75.75" customHeight="1">
      <c r="A14" s="103" t="s">
        <v>89</v>
      </c>
      <c r="B14" s="161"/>
      <c r="C14" s="162"/>
      <c r="D14" s="164"/>
      <c r="E14" s="116"/>
    </row>
    <row r="15" spans="1:5">
      <c r="A15" s="103" t="s">
        <v>9</v>
      </c>
      <c r="B15" s="122"/>
      <c r="C15" s="26"/>
      <c r="D15" s="30"/>
    </row>
    <row r="16" spans="1:5">
      <c r="A16" s="103" t="s">
        <v>298</v>
      </c>
      <c r="B16" s="122" t="s">
        <v>88</v>
      </c>
      <c r="C16" s="26">
        <v>2.74</v>
      </c>
      <c r="D16" s="30">
        <f>C16*12*B8</f>
        <v>151682.016</v>
      </c>
    </row>
    <row r="17" spans="1:4">
      <c r="A17" s="6" t="s">
        <v>162</v>
      </c>
      <c r="B17" s="122" t="s">
        <v>105</v>
      </c>
      <c r="C17" s="44">
        <v>0.09</v>
      </c>
      <c r="D17" s="30">
        <f>C17*12*B8</f>
        <v>4982.2560000000003</v>
      </c>
    </row>
    <row r="18" spans="1:4">
      <c r="A18" s="6" t="s">
        <v>152</v>
      </c>
      <c r="B18" s="122" t="s">
        <v>105</v>
      </c>
      <c r="C18" s="44">
        <v>0.14000000000000001</v>
      </c>
      <c r="D18" s="30">
        <f>C18*12*B8</f>
        <v>7750.1760000000004</v>
      </c>
    </row>
    <row r="19" spans="1:4">
      <c r="A19" s="6" t="s">
        <v>144</v>
      </c>
      <c r="B19" s="122" t="s">
        <v>88</v>
      </c>
      <c r="C19" s="44">
        <v>0.14000000000000001</v>
      </c>
      <c r="D19" s="30">
        <f>C19*12*B8</f>
        <v>7750.1760000000004</v>
      </c>
    </row>
    <row r="20" spans="1:4">
      <c r="A20" s="6" t="s">
        <v>299</v>
      </c>
      <c r="B20" s="122" t="s">
        <v>80</v>
      </c>
      <c r="C20" s="44">
        <v>0.19</v>
      </c>
      <c r="D20" s="30">
        <f>C20*12*B8</f>
        <v>10518.096000000001</v>
      </c>
    </row>
    <row r="21" spans="1:4">
      <c r="A21" s="165" t="s">
        <v>10</v>
      </c>
      <c r="B21" s="165"/>
      <c r="C21" s="165"/>
      <c r="D21" s="165"/>
    </row>
    <row r="22" spans="1:4" ht="13.5" customHeight="1">
      <c r="A22" s="39" t="s">
        <v>97</v>
      </c>
      <c r="B22" s="120"/>
      <c r="C22" s="120"/>
      <c r="D22" s="120"/>
    </row>
    <row r="23" spans="1:4" ht="13.5" customHeight="1">
      <c r="A23" s="6" t="s">
        <v>11</v>
      </c>
      <c r="B23" s="122" t="s">
        <v>75</v>
      </c>
      <c r="C23" s="152">
        <v>2.16</v>
      </c>
      <c r="D23" s="166">
        <f>C23*B8*12</f>
        <v>119574.144</v>
      </c>
    </row>
    <row r="24" spans="1:4" ht="12.75" customHeight="1">
      <c r="A24" s="6" t="s">
        <v>12</v>
      </c>
      <c r="B24" s="122" t="s">
        <v>75</v>
      </c>
      <c r="C24" s="152"/>
      <c r="D24" s="155"/>
    </row>
    <row r="25" spans="1:4" ht="14.25" customHeight="1">
      <c r="A25" s="6" t="s">
        <v>13</v>
      </c>
      <c r="B25" s="122" t="s">
        <v>75</v>
      </c>
      <c r="C25" s="152"/>
      <c r="D25" s="155"/>
    </row>
    <row r="26" spans="1:4" ht="13.5" customHeight="1">
      <c r="A26" s="6" t="s">
        <v>14</v>
      </c>
      <c r="B26" s="122" t="s">
        <v>76</v>
      </c>
      <c r="C26" s="152"/>
      <c r="D26" s="155"/>
    </row>
    <row r="27" spans="1:4" ht="12.75" customHeight="1">
      <c r="A27" s="39" t="s">
        <v>93</v>
      </c>
      <c r="B27" s="122"/>
      <c r="C27" s="152"/>
      <c r="D27" s="155"/>
    </row>
    <row r="28" spans="1:4" ht="30" customHeight="1">
      <c r="A28" s="6" t="s">
        <v>15</v>
      </c>
      <c r="B28" s="122" t="s">
        <v>94</v>
      </c>
      <c r="C28" s="152"/>
      <c r="D28" s="156"/>
    </row>
    <row r="29" spans="1:4" ht="12.75" customHeight="1">
      <c r="A29" s="157" t="s">
        <v>16</v>
      </c>
      <c r="B29" s="158"/>
      <c r="C29" s="158"/>
      <c r="D29" s="159"/>
    </row>
    <row r="30" spans="1:4" ht="12" customHeight="1">
      <c r="A30" s="7" t="s">
        <v>17</v>
      </c>
      <c r="B30" s="21" t="s">
        <v>78</v>
      </c>
      <c r="C30" s="152">
        <v>0.2</v>
      </c>
      <c r="D30" s="167">
        <f>C30*B8*12</f>
        <v>11071.68</v>
      </c>
    </row>
    <row r="31" spans="1:4" ht="12" customHeight="1">
      <c r="A31" s="7" t="s">
        <v>18</v>
      </c>
      <c r="B31" s="21" t="s">
        <v>77</v>
      </c>
      <c r="C31" s="152"/>
      <c r="D31" s="167"/>
    </row>
    <row r="32" spans="1:4" ht="13.5" customHeight="1">
      <c r="A32" s="157" t="s">
        <v>19</v>
      </c>
      <c r="B32" s="158"/>
      <c r="C32" s="158"/>
      <c r="D32" s="159"/>
    </row>
    <row r="33" spans="1:4">
      <c r="A33" s="167" t="s">
        <v>20</v>
      </c>
      <c r="B33" s="167"/>
      <c r="C33" s="167"/>
      <c r="D33" s="167"/>
    </row>
    <row r="34" spans="1:4" ht="37.5" customHeight="1">
      <c r="A34" s="8" t="s">
        <v>21</v>
      </c>
      <c r="B34" s="22" t="s">
        <v>79</v>
      </c>
      <c r="C34" s="152">
        <v>0.52</v>
      </c>
      <c r="D34" s="154">
        <f>C34*12*B8</f>
        <v>28786.367999999999</v>
      </c>
    </row>
    <row r="35" spans="1:4" ht="15" customHeight="1">
      <c r="A35" s="9" t="s">
        <v>23</v>
      </c>
      <c r="B35" s="23" t="s">
        <v>80</v>
      </c>
      <c r="C35" s="152"/>
      <c r="D35" s="155"/>
    </row>
    <row r="36" spans="1:4" ht="13.5" customHeight="1">
      <c r="A36" s="9" t="s">
        <v>25</v>
      </c>
      <c r="B36" s="23" t="s">
        <v>80</v>
      </c>
      <c r="C36" s="152"/>
      <c r="D36" s="155"/>
    </row>
    <row r="37" spans="1:4" ht="36" customHeight="1">
      <c r="A37" s="9" t="s">
        <v>26</v>
      </c>
      <c r="B37" s="22" t="s">
        <v>22</v>
      </c>
      <c r="C37" s="152"/>
      <c r="D37" s="155"/>
    </row>
    <row r="38" spans="1:4" ht="14.25" customHeight="1">
      <c r="A38" s="9" t="s">
        <v>27</v>
      </c>
      <c r="B38" s="22" t="s">
        <v>24</v>
      </c>
      <c r="C38" s="152"/>
      <c r="D38" s="155"/>
    </row>
    <row r="39" spans="1:4" ht="33.75" customHeight="1">
      <c r="A39" s="24" t="s">
        <v>28</v>
      </c>
      <c r="B39" s="22" t="s">
        <v>22</v>
      </c>
      <c r="C39" s="153"/>
      <c r="D39" s="156"/>
    </row>
    <row r="40" spans="1:4" ht="15.75" customHeight="1">
      <c r="A40" s="167" t="s">
        <v>65</v>
      </c>
      <c r="B40" s="167"/>
      <c r="C40" s="167"/>
      <c r="D40" s="167"/>
    </row>
    <row r="41" spans="1:4" ht="36.75" customHeight="1">
      <c r="A41" s="9" t="s">
        <v>66</v>
      </c>
      <c r="B41" s="22" t="s">
        <v>79</v>
      </c>
      <c r="C41" s="154">
        <v>0.84</v>
      </c>
      <c r="D41" s="152">
        <f>C41*12*B8</f>
        <v>46501.055999999997</v>
      </c>
    </row>
    <row r="42" spans="1:4" ht="14.25" customHeight="1">
      <c r="A42" s="9" t="s">
        <v>67</v>
      </c>
      <c r="B42" s="22" t="s">
        <v>80</v>
      </c>
      <c r="C42" s="154"/>
      <c r="D42" s="168"/>
    </row>
    <row r="43" spans="1:4" ht="14.25" customHeight="1">
      <c r="A43" s="9" t="s">
        <v>68</v>
      </c>
      <c r="B43" s="22" t="s">
        <v>80</v>
      </c>
      <c r="C43" s="154"/>
      <c r="D43" s="168"/>
    </row>
    <row r="44" spans="1:4" ht="24" customHeight="1">
      <c r="A44" s="9" t="s">
        <v>69</v>
      </c>
      <c r="B44" s="22" t="s">
        <v>79</v>
      </c>
      <c r="C44" s="154"/>
      <c r="D44" s="168"/>
    </row>
    <row r="45" spans="1:4" ht="25.5" customHeight="1">
      <c r="A45" s="10" t="s">
        <v>70</v>
      </c>
      <c r="B45" s="22" t="s">
        <v>79</v>
      </c>
      <c r="C45" s="154"/>
      <c r="D45" s="168"/>
    </row>
    <row r="46" spans="1:4" ht="14.25" customHeight="1">
      <c r="A46" s="9" t="s">
        <v>71</v>
      </c>
      <c r="B46" s="22" t="s">
        <v>24</v>
      </c>
      <c r="C46" s="154"/>
      <c r="D46" s="162"/>
    </row>
    <row r="47" spans="1:4" ht="11.25" customHeight="1">
      <c r="A47" s="169" t="s">
        <v>29</v>
      </c>
      <c r="B47" s="169"/>
      <c r="C47" s="169"/>
      <c r="D47" s="169"/>
    </row>
    <row r="48" spans="1:4" ht="35.25" customHeight="1">
      <c r="A48" s="9" t="s">
        <v>30</v>
      </c>
      <c r="B48" s="22" t="s">
        <v>22</v>
      </c>
      <c r="C48" s="154">
        <v>0.61</v>
      </c>
      <c r="D48" s="152">
        <f>C48*12*B8</f>
        <v>33768.624000000003</v>
      </c>
    </row>
    <row r="49" spans="1:4" ht="38.25" customHeight="1">
      <c r="A49" s="9" t="s">
        <v>31</v>
      </c>
      <c r="B49" s="22" t="s">
        <v>22</v>
      </c>
      <c r="C49" s="154"/>
      <c r="D49" s="152"/>
    </row>
    <row r="50" spans="1:4" ht="15" customHeight="1">
      <c r="A50" s="10" t="s">
        <v>32</v>
      </c>
      <c r="B50" s="22" t="s">
        <v>22</v>
      </c>
      <c r="C50" s="154"/>
      <c r="D50" s="152"/>
    </row>
    <row r="51" spans="1:4" ht="12.75" customHeight="1">
      <c r="A51" s="167" t="s">
        <v>33</v>
      </c>
      <c r="B51" s="167"/>
      <c r="C51" s="167"/>
      <c r="D51" s="167"/>
    </row>
    <row r="52" spans="1:4" ht="29.25" customHeight="1">
      <c r="A52" s="9" t="s">
        <v>34</v>
      </c>
      <c r="B52" s="22" t="s">
        <v>77</v>
      </c>
      <c r="C52" s="154">
        <v>2.65</v>
      </c>
      <c r="D52" s="154">
        <f>C52*12*B8</f>
        <v>146699.75999999998</v>
      </c>
    </row>
    <row r="53" spans="1:4" ht="14.25" customHeight="1">
      <c r="A53" s="9" t="s">
        <v>35</v>
      </c>
      <c r="B53" s="22" t="s">
        <v>81</v>
      </c>
      <c r="C53" s="154"/>
      <c r="D53" s="154"/>
    </row>
    <row r="54" spans="1:4" ht="17.25" customHeight="1">
      <c r="A54" s="9" t="s">
        <v>36</v>
      </c>
      <c r="B54" s="22" t="s">
        <v>81</v>
      </c>
      <c r="C54" s="154"/>
      <c r="D54" s="154"/>
    </row>
    <row r="55" spans="1:4" ht="24.75" customHeight="1">
      <c r="A55" s="9" t="s">
        <v>37</v>
      </c>
      <c r="B55" s="22" t="s">
        <v>82</v>
      </c>
      <c r="C55" s="154"/>
      <c r="D55" s="154"/>
    </row>
    <row r="56" spans="1:4" ht="30" customHeight="1">
      <c r="A56" s="9" t="s">
        <v>38</v>
      </c>
      <c r="B56" s="22" t="s">
        <v>82</v>
      </c>
      <c r="C56" s="154"/>
      <c r="D56" s="154"/>
    </row>
    <row r="57" spans="1:4" ht="12.75" customHeight="1">
      <c r="A57" s="120" t="s">
        <v>95</v>
      </c>
      <c r="B57" s="6"/>
      <c r="C57" s="154"/>
      <c r="D57" s="154"/>
    </row>
    <row r="58" spans="1:4" ht="35.25" customHeight="1">
      <c r="A58" s="9" t="s">
        <v>40</v>
      </c>
      <c r="B58" s="22" t="s">
        <v>79</v>
      </c>
      <c r="C58" s="154"/>
      <c r="D58" s="154"/>
    </row>
    <row r="59" spans="1:4" ht="14.25" customHeight="1">
      <c r="A59" s="9" t="s">
        <v>41</v>
      </c>
      <c r="B59" s="22" t="s">
        <v>80</v>
      </c>
      <c r="C59" s="154"/>
      <c r="D59" s="154"/>
    </row>
    <row r="60" spans="1:4" ht="14.25" customHeight="1">
      <c r="A60" s="9" t="s">
        <v>42</v>
      </c>
      <c r="B60" s="23" t="s">
        <v>80</v>
      </c>
      <c r="C60" s="154"/>
      <c r="D60" s="154"/>
    </row>
    <row r="61" spans="1:4" ht="13.5" customHeight="1">
      <c r="A61" s="9" t="s">
        <v>43</v>
      </c>
      <c r="B61" s="23" t="s">
        <v>80</v>
      </c>
      <c r="C61" s="154"/>
      <c r="D61" s="154"/>
    </row>
    <row r="62" spans="1:4" ht="13.5" customHeight="1">
      <c r="A62" s="9" t="s">
        <v>44</v>
      </c>
      <c r="B62" s="21" t="s">
        <v>236</v>
      </c>
      <c r="C62" s="154"/>
      <c r="D62" s="154"/>
    </row>
    <row r="63" spans="1:4" ht="36.75" customHeight="1">
      <c r="A63" s="10" t="s">
        <v>45</v>
      </c>
      <c r="B63" s="22" t="s">
        <v>22</v>
      </c>
      <c r="C63" s="154"/>
      <c r="D63" s="154"/>
    </row>
    <row r="64" spans="1:4">
      <c r="A64" s="167" t="s">
        <v>46</v>
      </c>
      <c r="B64" s="167"/>
      <c r="C64" s="167"/>
      <c r="D64" s="167"/>
    </row>
    <row r="65" spans="1:4" ht="15.75" customHeight="1">
      <c r="A65" s="9" t="s">
        <v>47</v>
      </c>
      <c r="B65" s="22" t="s">
        <v>83</v>
      </c>
      <c r="C65" s="153">
        <v>1.2</v>
      </c>
      <c r="D65" s="166">
        <f>C65*B8*12-731.46</f>
        <v>65698.619999999981</v>
      </c>
    </row>
    <row r="66" spans="1:4" ht="12.75" customHeight="1">
      <c r="A66" s="9" t="s">
        <v>48</v>
      </c>
      <c r="B66" s="22" t="s">
        <v>83</v>
      </c>
      <c r="C66" s="168"/>
      <c r="D66" s="155"/>
    </row>
    <row r="67" spans="1:4" ht="24" customHeight="1">
      <c r="A67" s="9" t="s">
        <v>49</v>
      </c>
      <c r="B67" s="22" t="s">
        <v>83</v>
      </c>
      <c r="C67" s="168"/>
      <c r="D67" s="155"/>
    </row>
    <row r="68" spans="1:4" ht="16.5" customHeight="1">
      <c r="A68" s="9" t="s">
        <v>50</v>
      </c>
      <c r="B68" s="22" t="s">
        <v>83</v>
      </c>
      <c r="C68" s="168"/>
      <c r="D68" s="155"/>
    </row>
    <row r="69" spans="1:4" ht="36.75" customHeight="1">
      <c r="A69" s="10" t="s">
        <v>51</v>
      </c>
      <c r="B69" s="22" t="s">
        <v>22</v>
      </c>
      <c r="C69" s="168"/>
      <c r="D69" s="155"/>
    </row>
    <row r="70" spans="1:4" ht="16.5" customHeight="1">
      <c r="A70" s="10" t="s">
        <v>52</v>
      </c>
      <c r="B70" s="23" t="s">
        <v>84</v>
      </c>
      <c r="C70" s="162"/>
      <c r="D70" s="156"/>
    </row>
    <row r="71" spans="1:4" ht="12" customHeight="1">
      <c r="A71" s="157" t="s">
        <v>55</v>
      </c>
      <c r="B71" s="158"/>
      <c r="C71" s="158"/>
      <c r="D71" s="159"/>
    </row>
    <row r="72" spans="1:4" ht="26.25" customHeight="1">
      <c r="A72" s="175" t="s">
        <v>96</v>
      </c>
      <c r="B72" s="177" t="s">
        <v>86</v>
      </c>
      <c r="C72" s="152">
        <v>2.41</v>
      </c>
      <c r="D72" s="154">
        <f>C72*B8*12</f>
        <v>133413.74400000001</v>
      </c>
    </row>
    <row r="73" spans="1:4" ht="3.75" customHeight="1">
      <c r="A73" s="176"/>
      <c r="B73" s="177"/>
      <c r="C73" s="152"/>
      <c r="D73" s="154"/>
    </row>
    <row r="74" spans="1:4" ht="15" customHeight="1">
      <c r="A74" s="157" t="s">
        <v>55</v>
      </c>
      <c r="B74" s="158"/>
      <c r="C74" s="158"/>
      <c r="D74" s="159"/>
    </row>
    <row r="75" spans="1:4" ht="16.5" customHeight="1">
      <c r="A75" s="6" t="s">
        <v>90</v>
      </c>
      <c r="B75" s="21" t="s">
        <v>87</v>
      </c>
      <c r="C75" s="170">
        <v>2.14</v>
      </c>
      <c r="D75" s="172">
        <v>118386.29</v>
      </c>
    </row>
    <row r="76" spans="1:4">
      <c r="A76" s="6" t="s">
        <v>91</v>
      </c>
      <c r="B76" s="21" t="s">
        <v>87</v>
      </c>
      <c r="C76" s="171"/>
      <c r="D76" s="173"/>
    </row>
    <row r="77" spans="1:4" ht="15" customHeight="1">
      <c r="A77" s="6" t="s">
        <v>92</v>
      </c>
      <c r="B77" s="21" t="s">
        <v>87</v>
      </c>
      <c r="C77" s="169"/>
      <c r="D77" s="174"/>
    </row>
    <row r="78" spans="1:4" ht="38.25" customHeight="1">
      <c r="A78" s="6" t="s">
        <v>143</v>
      </c>
      <c r="B78" s="22" t="s">
        <v>22</v>
      </c>
      <c r="C78" s="121">
        <v>4.3499999999999996</v>
      </c>
      <c r="D78" s="121">
        <f>C78*12*B8</f>
        <v>240809.03999999998</v>
      </c>
    </row>
    <row r="79" spans="1:4">
      <c r="A79" s="120" t="s">
        <v>56</v>
      </c>
      <c r="B79" s="23"/>
      <c r="C79" s="28">
        <f>C78+C75+C72+C65+C52+C48+C41+C34+C30+C30+C23+C20+C19+C18+C17+C16+C13</f>
        <v>21.619999999999997</v>
      </c>
      <c r="D79" s="28">
        <f>D78+D75+D72+D65+D52+D48+D41+D34+D30+D30+D23+D20+D19+D18+D17+D16+D13</f>
        <v>1196036.4620000001</v>
      </c>
    </row>
    <row r="80" spans="1:4">
      <c r="C80" t="s">
        <v>201</v>
      </c>
    </row>
    <row r="81" spans="4:4">
      <c r="D81" s="40"/>
    </row>
    <row r="82" spans="4:4">
      <c r="D82" s="40"/>
    </row>
    <row r="83" spans="4:4">
      <c r="D83" s="40"/>
    </row>
    <row r="84" spans="4:4">
      <c r="D84" s="40"/>
    </row>
  </sheetData>
  <mergeCells count="34">
    <mergeCell ref="C75:C77"/>
    <mergeCell ref="D75:D77"/>
    <mergeCell ref="A71:D71"/>
    <mergeCell ref="A72:A73"/>
    <mergeCell ref="B72:B73"/>
    <mergeCell ref="C72:C73"/>
    <mergeCell ref="D72:D73"/>
    <mergeCell ref="A74:D74"/>
    <mergeCell ref="A51:D51"/>
    <mergeCell ref="C52:C63"/>
    <mergeCell ref="D52:D63"/>
    <mergeCell ref="A64:D64"/>
    <mergeCell ref="C65:C70"/>
    <mergeCell ref="D65:D70"/>
    <mergeCell ref="A40:D40"/>
    <mergeCell ref="C41:C46"/>
    <mergeCell ref="D41:D46"/>
    <mergeCell ref="A47:D47"/>
    <mergeCell ref="C48:C50"/>
    <mergeCell ref="D48:D50"/>
    <mergeCell ref="C34:C39"/>
    <mergeCell ref="D34:D39"/>
    <mergeCell ref="A12:D12"/>
    <mergeCell ref="B13:B14"/>
    <mergeCell ref="C13:C14"/>
    <mergeCell ref="D13:D14"/>
    <mergeCell ref="A21:D21"/>
    <mergeCell ref="C23:C28"/>
    <mergeCell ref="D23:D28"/>
    <mergeCell ref="A29:D29"/>
    <mergeCell ref="C30:C31"/>
    <mergeCell ref="D30:D31"/>
    <mergeCell ref="A32:D32"/>
    <mergeCell ref="A33:D3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75"/>
  <sheetViews>
    <sheetView topLeftCell="A37" zoomScaleNormal="100" workbookViewId="0">
      <selection activeCell="C79" sqref="C79"/>
    </sheetView>
  </sheetViews>
  <sheetFormatPr defaultRowHeight="15"/>
  <cols>
    <col min="1" max="1" width="93.5703125" customWidth="1"/>
    <col min="2" max="2" width="13" customWidth="1"/>
    <col min="3" max="3" width="11" customWidth="1"/>
    <col min="4" max="4" width="12" customWidth="1"/>
  </cols>
  <sheetData>
    <row r="1" spans="1:4">
      <c r="A1" s="1" t="s">
        <v>0</v>
      </c>
      <c r="B1" s="2"/>
      <c r="C1" s="2"/>
      <c r="D1" s="2" t="s">
        <v>63</v>
      </c>
    </row>
    <row r="2" spans="1:4">
      <c r="A2" s="1" t="s">
        <v>278</v>
      </c>
      <c r="B2" s="2"/>
      <c r="C2" s="2"/>
      <c r="D2" s="2"/>
    </row>
    <row r="3" spans="1:4">
      <c r="A3" s="1" t="s">
        <v>241</v>
      </c>
      <c r="B3" s="2"/>
      <c r="C3" s="2"/>
      <c r="D3" s="2"/>
    </row>
    <row r="4" spans="1:4">
      <c r="A4" s="25" t="s">
        <v>58</v>
      </c>
      <c r="B4" s="2">
        <v>1940</v>
      </c>
      <c r="C4" s="2"/>
      <c r="D4" s="2"/>
    </row>
    <row r="5" spans="1:4">
      <c r="A5" s="25" t="s">
        <v>59</v>
      </c>
      <c r="B5" s="2">
        <v>4</v>
      </c>
      <c r="C5" s="2"/>
      <c r="D5" s="2"/>
    </row>
    <row r="6" spans="1:4">
      <c r="A6" s="25" t="s">
        <v>60</v>
      </c>
      <c r="B6" s="2">
        <v>3</v>
      </c>
      <c r="C6" s="2"/>
      <c r="D6" s="2"/>
    </row>
    <row r="7" spans="1:4">
      <c r="A7" s="25" t="s">
        <v>61</v>
      </c>
      <c r="B7" s="2">
        <v>35</v>
      </c>
      <c r="C7" s="2"/>
      <c r="D7" s="2"/>
    </row>
    <row r="8" spans="1:4">
      <c r="A8" s="25" t="s">
        <v>72</v>
      </c>
      <c r="B8" s="2">
        <v>2479.4</v>
      </c>
      <c r="C8" s="2"/>
      <c r="D8" s="2"/>
    </row>
    <row r="9" spans="1:4">
      <c r="A9" s="25" t="s">
        <v>62</v>
      </c>
      <c r="B9" s="2">
        <v>45.3</v>
      </c>
      <c r="C9" s="2"/>
      <c r="D9" s="2"/>
    </row>
    <row r="10" spans="1:4">
      <c r="A10" s="25" t="s">
        <v>73</v>
      </c>
      <c r="B10" s="46">
        <v>315.3</v>
      </c>
      <c r="C10" s="2"/>
      <c r="D10" s="2"/>
    </row>
    <row r="11" spans="1:4" ht="36.75">
      <c r="A11" s="113" t="s">
        <v>1</v>
      </c>
      <c r="B11" s="113" t="s">
        <v>2</v>
      </c>
      <c r="C11" s="113" t="s">
        <v>239</v>
      </c>
      <c r="D11" s="113" t="s">
        <v>4</v>
      </c>
    </row>
    <row r="12" spans="1:4">
      <c r="A12" s="178" t="s">
        <v>5</v>
      </c>
      <c r="B12" s="158"/>
      <c r="C12" s="158"/>
      <c r="D12" s="159"/>
    </row>
    <row r="13" spans="1:4" ht="88.5" customHeight="1">
      <c r="A13" s="104" t="s">
        <v>6</v>
      </c>
      <c r="B13" s="182" t="s">
        <v>8</v>
      </c>
      <c r="C13" s="153">
        <v>1.02</v>
      </c>
      <c r="D13" s="163">
        <f>C13*12*B8</f>
        <v>30347.856000000003</v>
      </c>
    </row>
    <row r="14" spans="1:4" ht="75.75" customHeight="1">
      <c r="A14" s="103" t="s">
        <v>89</v>
      </c>
      <c r="B14" s="183"/>
      <c r="C14" s="162"/>
      <c r="D14" s="164"/>
    </row>
    <row r="15" spans="1:4">
      <c r="A15" s="6" t="s">
        <v>242</v>
      </c>
      <c r="B15" s="113"/>
      <c r="C15" s="26"/>
      <c r="D15" s="30"/>
    </row>
    <row r="16" spans="1:4">
      <c r="A16" s="6" t="s">
        <v>279</v>
      </c>
      <c r="B16" s="113" t="s">
        <v>88</v>
      </c>
      <c r="C16" s="26">
        <v>3.34</v>
      </c>
      <c r="D16" s="30">
        <f>C16*12*B8</f>
        <v>99374.351999999999</v>
      </c>
    </row>
    <row r="17" spans="1:4">
      <c r="A17" s="165" t="s">
        <v>10</v>
      </c>
      <c r="B17" s="165"/>
      <c r="C17" s="165"/>
      <c r="D17" s="165"/>
    </row>
    <row r="18" spans="1:4" ht="13.5" customHeight="1">
      <c r="A18" s="39" t="s">
        <v>97</v>
      </c>
      <c r="B18" s="111"/>
      <c r="C18" s="111"/>
      <c r="D18" s="111"/>
    </row>
    <row r="19" spans="1:4" ht="13.5" customHeight="1">
      <c r="A19" s="6" t="s">
        <v>11</v>
      </c>
      <c r="B19" s="113" t="s">
        <v>75</v>
      </c>
      <c r="C19" s="152">
        <v>2.16</v>
      </c>
      <c r="D19" s="166">
        <f>C19*12*B8</f>
        <v>64266.04800000001</v>
      </c>
    </row>
    <row r="20" spans="1:4" ht="12.75" customHeight="1">
      <c r="A20" s="6" t="s">
        <v>12</v>
      </c>
      <c r="B20" s="113" t="s">
        <v>75</v>
      </c>
      <c r="C20" s="152"/>
      <c r="D20" s="155"/>
    </row>
    <row r="21" spans="1:4" ht="14.25" customHeight="1">
      <c r="A21" s="6" t="s">
        <v>13</v>
      </c>
      <c r="B21" s="113" t="s">
        <v>75</v>
      </c>
      <c r="C21" s="152"/>
      <c r="D21" s="155"/>
    </row>
    <row r="22" spans="1:4" ht="13.5" customHeight="1">
      <c r="A22" s="6" t="s">
        <v>14</v>
      </c>
      <c r="B22" s="113" t="s">
        <v>76</v>
      </c>
      <c r="C22" s="152"/>
      <c r="D22" s="155"/>
    </row>
    <row r="23" spans="1:4" ht="12.75" customHeight="1">
      <c r="A23" s="39" t="s">
        <v>93</v>
      </c>
      <c r="B23" s="113"/>
      <c r="C23" s="152"/>
      <c r="D23" s="155"/>
    </row>
    <row r="24" spans="1:4" ht="30" customHeight="1">
      <c r="A24" s="6" t="s">
        <v>15</v>
      </c>
      <c r="B24" s="113" t="s">
        <v>94</v>
      </c>
      <c r="C24" s="152"/>
      <c r="D24" s="156"/>
    </row>
    <row r="25" spans="1:4" ht="12.75" customHeight="1">
      <c r="A25" s="157" t="s">
        <v>16</v>
      </c>
      <c r="B25" s="158"/>
      <c r="C25" s="158"/>
      <c r="D25" s="159"/>
    </row>
    <row r="26" spans="1:4" ht="12" customHeight="1">
      <c r="A26" s="7" t="s">
        <v>17</v>
      </c>
      <c r="B26" s="21" t="s">
        <v>78</v>
      </c>
      <c r="C26" s="152">
        <v>0.2</v>
      </c>
      <c r="D26" s="167">
        <f>C26*B8*12</f>
        <v>5950.56</v>
      </c>
    </row>
    <row r="27" spans="1:4" ht="12" customHeight="1">
      <c r="A27" s="7" t="s">
        <v>18</v>
      </c>
      <c r="B27" s="21" t="s">
        <v>77</v>
      </c>
      <c r="C27" s="152"/>
      <c r="D27" s="167"/>
    </row>
    <row r="28" spans="1:4" ht="13.5" customHeight="1">
      <c r="A28" s="157" t="s">
        <v>19</v>
      </c>
      <c r="B28" s="158"/>
      <c r="C28" s="158"/>
      <c r="D28" s="159"/>
    </row>
    <row r="29" spans="1:4">
      <c r="A29" s="167" t="s">
        <v>20</v>
      </c>
      <c r="B29" s="167"/>
      <c r="C29" s="167"/>
      <c r="D29" s="167"/>
    </row>
    <row r="30" spans="1:4" ht="37.5" customHeight="1">
      <c r="A30" s="8" t="s">
        <v>21</v>
      </c>
      <c r="B30" s="22" t="s">
        <v>79</v>
      </c>
      <c r="C30" s="152">
        <v>0.66</v>
      </c>
      <c r="D30" s="154">
        <f>C30*B8*12</f>
        <v>19636.848000000002</v>
      </c>
    </row>
    <row r="31" spans="1:4" ht="15" customHeight="1">
      <c r="A31" s="9" t="s">
        <v>23</v>
      </c>
      <c r="B31" s="23" t="s">
        <v>80</v>
      </c>
      <c r="C31" s="152"/>
      <c r="D31" s="155"/>
    </row>
    <row r="32" spans="1:4" ht="13.5" customHeight="1">
      <c r="A32" s="9" t="s">
        <v>25</v>
      </c>
      <c r="B32" s="23" t="s">
        <v>80</v>
      </c>
      <c r="C32" s="152"/>
      <c r="D32" s="155"/>
    </row>
    <row r="33" spans="1:4" ht="36" customHeight="1">
      <c r="A33" s="9" t="s">
        <v>26</v>
      </c>
      <c r="B33" s="22" t="s">
        <v>22</v>
      </c>
      <c r="C33" s="152"/>
      <c r="D33" s="155"/>
    </row>
    <row r="34" spans="1:4" ht="14.25" customHeight="1">
      <c r="A34" s="9" t="s">
        <v>27</v>
      </c>
      <c r="B34" s="23" t="s">
        <v>80</v>
      </c>
      <c r="C34" s="152"/>
      <c r="D34" s="155"/>
    </row>
    <row r="35" spans="1:4" ht="33.75" customHeight="1">
      <c r="A35" s="24" t="s">
        <v>28</v>
      </c>
      <c r="B35" s="22" t="s">
        <v>22</v>
      </c>
      <c r="C35" s="153"/>
      <c r="D35" s="156"/>
    </row>
    <row r="36" spans="1:4" ht="11.25" customHeight="1">
      <c r="A36" s="169" t="s">
        <v>29</v>
      </c>
      <c r="B36" s="169"/>
      <c r="C36" s="169"/>
      <c r="D36" s="169"/>
    </row>
    <row r="37" spans="1:4" ht="35.25" customHeight="1">
      <c r="A37" s="9" t="s">
        <v>30</v>
      </c>
      <c r="B37" s="22" t="s">
        <v>22</v>
      </c>
      <c r="C37" s="154">
        <v>0.76</v>
      </c>
      <c r="D37" s="152">
        <f>C37*12*B8</f>
        <v>22612.128000000004</v>
      </c>
    </row>
    <row r="38" spans="1:4" ht="38.25" customHeight="1">
      <c r="A38" s="9" t="s">
        <v>31</v>
      </c>
      <c r="B38" s="22" t="s">
        <v>22</v>
      </c>
      <c r="C38" s="154"/>
      <c r="D38" s="152"/>
    </row>
    <row r="39" spans="1:4" ht="15" customHeight="1">
      <c r="A39" s="10" t="s">
        <v>32</v>
      </c>
      <c r="B39" s="22" t="s">
        <v>22</v>
      </c>
      <c r="C39" s="154"/>
      <c r="D39" s="152"/>
    </row>
    <row r="40" spans="1:4" ht="12.75" customHeight="1">
      <c r="A40" s="167" t="s">
        <v>33</v>
      </c>
      <c r="B40" s="167"/>
      <c r="C40" s="167"/>
      <c r="D40" s="167"/>
    </row>
    <row r="41" spans="1:4" ht="29.25" customHeight="1">
      <c r="A41" s="9" t="s">
        <v>34</v>
      </c>
      <c r="B41" s="22" t="s">
        <v>77</v>
      </c>
      <c r="C41" s="154">
        <v>1.28</v>
      </c>
      <c r="D41" s="154">
        <f>C41*12*B8</f>
        <v>38083.584000000003</v>
      </c>
    </row>
    <row r="42" spans="1:4" ht="14.25" customHeight="1">
      <c r="A42" s="9" t="s">
        <v>35</v>
      </c>
      <c r="B42" s="22" t="s">
        <v>81</v>
      </c>
      <c r="C42" s="154"/>
      <c r="D42" s="154"/>
    </row>
    <row r="43" spans="1:4" ht="17.25" customHeight="1">
      <c r="A43" s="9" t="s">
        <v>36</v>
      </c>
      <c r="B43" s="22" t="s">
        <v>81</v>
      </c>
      <c r="C43" s="154"/>
      <c r="D43" s="154"/>
    </row>
    <row r="44" spans="1:4" ht="24.75" customHeight="1">
      <c r="A44" s="9" t="s">
        <v>37</v>
      </c>
      <c r="B44" s="22" t="s">
        <v>82</v>
      </c>
      <c r="C44" s="154"/>
      <c r="D44" s="154"/>
    </row>
    <row r="45" spans="1:4" ht="30" customHeight="1">
      <c r="A45" s="9" t="s">
        <v>38</v>
      </c>
      <c r="B45" s="22" t="s">
        <v>82</v>
      </c>
      <c r="C45" s="154"/>
      <c r="D45" s="154"/>
    </row>
    <row r="46" spans="1:4" ht="12.75" customHeight="1">
      <c r="A46" s="111" t="s">
        <v>95</v>
      </c>
      <c r="B46" s="6"/>
      <c r="C46" s="154"/>
      <c r="D46" s="154"/>
    </row>
    <row r="47" spans="1:4" ht="35.25" customHeight="1">
      <c r="A47" s="9" t="s">
        <v>40</v>
      </c>
      <c r="B47" s="22" t="s">
        <v>79</v>
      </c>
      <c r="C47" s="154"/>
      <c r="D47" s="154"/>
    </row>
    <row r="48" spans="1:4" ht="14.25" customHeight="1">
      <c r="A48" s="9" t="s">
        <v>41</v>
      </c>
      <c r="B48" s="22" t="s">
        <v>24</v>
      </c>
      <c r="C48" s="154"/>
      <c r="D48" s="154"/>
    </row>
    <row r="49" spans="1:4" ht="14.25" customHeight="1">
      <c r="A49" s="9" t="s">
        <v>42</v>
      </c>
      <c r="B49" s="22" t="s">
        <v>24</v>
      </c>
      <c r="C49" s="154"/>
      <c r="D49" s="154"/>
    </row>
    <row r="50" spans="1:4" ht="13.5" customHeight="1">
      <c r="A50" s="9" t="s">
        <v>43</v>
      </c>
      <c r="B50" s="22" t="s">
        <v>24</v>
      </c>
      <c r="C50" s="154"/>
      <c r="D50" s="154"/>
    </row>
    <row r="51" spans="1:4" ht="13.5" customHeight="1">
      <c r="A51" s="9" t="s">
        <v>44</v>
      </c>
      <c r="B51" s="22" t="s">
        <v>24</v>
      </c>
      <c r="C51" s="154"/>
      <c r="D51" s="154"/>
    </row>
    <row r="52" spans="1:4" ht="36.75" customHeight="1">
      <c r="A52" s="10" t="s">
        <v>45</v>
      </c>
      <c r="B52" s="22" t="s">
        <v>22</v>
      </c>
      <c r="C52" s="154"/>
      <c r="D52" s="154"/>
    </row>
    <row r="53" spans="1:4">
      <c r="A53" s="167" t="s">
        <v>46</v>
      </c>
      <c r="B53" s="167"/>
      <c r="C53" s="167"/>
      <c r="D53" s="167"/>
    </row>
    <row r="54" spans="1:4" ht="15.75" customHeight="1">
      <c r="A54" s="9" t="s">
        <v>47</v>
      </c>
      <c r="B54" s="22" t="s">
        <v>83</v>
      </c>
      <c r="C54" s="153">
        <v>1.17</v>
      </c>
      <c r="D54" s="179">
        <f>C54*B8*12+0.02</f>
        <v>34810.795999999995</v>
      </c>
    </row>
    <row r="55" spans="1:4" ht="12.75" customHeight="1">
      <c r="A55" s="9" t="s">
        <v>48</v>
      </c>
      <c r="B55" s="22" t="s">
        <v>83</v>
      </c>
      <c r="C55" s="168"/>
      <c r="D55" s="180"/>
    </row>
    <row r="56" spans="1:4" ht="24" customHeight="1">
      <c r="A56" s="9" t="s">
        <v>49</v>
      </c>
      <c r="B56" s="22" t="s">
        <v>84</v>
      </c>
      <c r="C56" s="168"/>
      <c r="D56" s="180"/>
    </row>
    <row r="57" spans="1:4" ht="16.5" customHeight="1">
      <c r="A57" s="9" t="s">
        <v>50</v>
      </c>
      <c r="B57" s="22" t="s">
        <v>83</v>
      </c>
      <c r="C57" s="168"/>
      <c r="D57" s="180"/>
    </row>
    <row r="58" spans="1:4" ht="36.75" customHeight="1">
      <c r="A58" s="10" t="s">
        <v>51</v>
      </c>
      <c r="B58" s="22" t="s">
        <v>22</v>
      </c>
      <c r="C58" s="168"/>
      <c r="D58" s="180"/>
    </row>
    <row r="59" spans="1:4" ht="16.5" customHeight="1">
      <c r="A59" s="10" t="s">
        <v>52</v>
      </c>
      <c r="B59" s="23" t="s">
        <v>84</v>
      </c>
      <c r="C59" s="168"/>
      <c r="D59" s="180"/>
    </row>
    <row r="60" spans="1:4" ht="16.5" customHeight="1">
      <c r="A60" s="53" t="s">
        <v>115</v>
      </c>
      <c r="B60" s="23" t="s">
        <v>116</v>
      </c>
      <c r="C60" s="162"/>
      <c r="D60" s="181"/>
    </row>
    <row r="61" spans="1:4" ht="15" customHeight="1">
      <c r="A61" s="157" t="s">
        <v>55</v>
      </c>
      <c r="B61" s="158"/>
      <c r="C61" s="158"/>
      <c r="D61" s="159"/>
    </row>
    <row r="62" spans="1:4" ht="26.25" customHeight="1">
      <c r="A62" s="175" t="s">
        <v>96</v>
      </c>
      <c r="B62" s="177" t="s">
        <v>86</v>
      </c>
      <c r="C62" s="152">
        <v>2.41</v>
      </c>
      <c r="D62" s="154">
        <f>C62*B8*12</f>
        <v>71704.248000000007</v>
      </c>
    </row>
    <row r="63" spans="1:4" ht="3.75" customHeight="1">
      <c r="A63" s="176"/>
      <c r="B63" s="177"/>
      <c r="C63" s="152"/>
      <c r="D63" s="154"/>
    </row>
    <row r="64" spans="1:4" ht="15" customHeight="1">
      <c r="A64" s="157" t="s">
        <v>55</v>
      </c>
      <c r="B64" s="158"/>
      <c r="C64" s="158"/>
      <c r="D64" s="159"/>
    </row>
    <row r="65" spans="1:4" ht="16.5" customHeight="1">
      <c r="A65" s="6" t="s">
        <v>90</v>
      </c>
      <c r="B65" s="21" t="s">
        <v>87</v>
      </c>
      <c r="C65" s="170">
        <v>2.14</v>
      </c>
      <c r="D65" s="172">
        <f>5305.93+58365.23</f>
        <v>63671.16</v>
      </c>
    </row>
    <row r="66" spans="1:4">
      <c r="A66" s="6" t="s">
        <v>91</v>
      </c>
      <c r="B66" s="21" t="s">
        <v>87</v>
      </c>
      <c r="C66" s="171"/>
      <c r="D66" s="173"/>
    </row>
    <row r="67" spans="1:4" ht="15" customHeight="1">
      <c r="A67" s="6" t="s">
        <v>92</v>
      </c>
      <c r="B67" s="21" t="s">
        <v>87</v>
      </c>
      <c r="C67" s="169"/>
      <c r="D67" s="174"/>
    </row>
    <row r="68" spans="1:4" ht="38.25" customHeight="1">
      <c r="A68" s="6" t="s">
        <v>143</v>
      </c>
      <c r="B68" s="22" t="s">
        <v>22</v>
      </c>
      <c r="C68" s="112">
        <v>4.22</v>
      </c>
      <c r="D68" s="112">
        <f>C68*12*B8</f>
        <v>125556.81600000001</v>
      </c>
    </row>
    <row r="69" spans="1:4">
      <c r="A69" s="111" t="s">
        <v>56</v>
      </c>
      <c r="B69" s="23"/>
      <c r="C69" s="28">
        <f>C68+C65+C62+C54+C41+C37+C30+C26+C19+C16+C13</f>
        <v>19.359999999999996</v>
      </c>
      <c r="D69" s="151">
        <f>D68+D65+D62+D54+D41+D37+D30+D26+D19+D16+D13</f>
        <v>576014.39600000007</v>
      </c>
    </row>
    <row r="70" spans="1:4">
      <c r="C70" t="s">
        <v>201</v>
      </c>
    </row>
    <row r="71" spans="1:4">
      <c r="D71" s="40"/>
    </row>
    <row r="72" spans="1:4">
      <c r="D72" s="40"/>
    </row>
    <row r="73" spans="1:4">
      <c r="D73" s="40"/>
    </row>
    <row r="74" spans="1:4">
      <c r="D74" s="40"/>
    </row>
    <row r="75" spans="1:4">
      <c r="D75" s="40"/>
    </row>
  </sheetData>
  <mergeCells count="31">
    <mergeCell ref="C19:C24"/>
    <mergeCell ref="D19:D24"/>
    <mergeCell ref="A12:D12"/>
    <mergeCell ref="B13:B14"/>
    <mergeCell ref="C13:C14"/>
    <mergeCell ref="D13:D14"/>
    <mergeCell ref="A17:D17"/>
    <mergeCell ref="A36:D36"/>
    <mergeCell ref="C37:C39"/>
    <mergeCell ref="D37:D39"/>
    <mergeCell ref="A25:D25"/>
    <mergeCell ref="C26:C27"/>
    <mergeCell ref="D26:D27"/>
    <mergeCell ref="A28:D28"/>
    <mergeCell ref="A29:D29"/>
    <mergeCell ref="C30:C35"/>
    <mergeCell ref="D30:D35"/>
    <mergeCell ref="A40:D40"/>
    <mergeCell ref="C41:C52"/>
    <mergeCell ref="D41:D52"/>
    <mergeCell ref="A53:D53"/>
    <mergeCell ref="C54:C60"/>
    <mergeCell ref="D54:D60"/>
    <mergeCell ref="C65:C67"/>
    <mergeCell ref="D65:D67"/>
    <mergeCell ref="A61:D61"/>
    <mergeCell ref="A62:A63"/>
    <mergeCell ref="B62:B63"/>
    <mergeCell ref="C62:C63"/>
    <mergeCell ref="D62:D63"/>
    <mergeCell ref="A64:D6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85"/>
  <sheetViews>
    <sheetView topLeftCell="A55" zoomScaleNormal="100" workbookViewId="0">
      <selection activeCell="A86" sqref="A86"/>
    </sheetView>
  </sheetViews>
  <sheetFormatPr defaultRowHeight="15"/>
  <cols>
    <col min="1" max="1" width="93.5703125" customWidth="1"/>
    <col min="2" max="2" width="13" customWidth="1"/>
    <col min="3" max="3" width="11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247</v>
      </c>
      <c r="B2" s="2"/>
      <c r="C2" s="2"/>
      <c r="D2" s="2"/>
    </row>
    <row r="3" spans="1:4">
      <c r="A3" s="1" t="s">
        <v>241</v>
      </c>
      <c r="B3" s="2"/>
      <c r="C3" s="2"/>
      <c r="D3" s="2"/>
    </row>
    <row r="4" spans="1:4">
      <c r="A4" s="25" t="s">
        <v>58</v>
      </c>
      <c r="B4" s="2">
        <v>1963</v>
      </c>
      <c r="C4" s="2"/>
      <c r="D4" s="2"/>
    </row>
    <row r="5" spans="1:4">
      <c r="A5" s="25" t="s">
        <v>59</v>
      </c>
      <c r="B5" s="2">
        <v>2</v>
      </c>
      <c r="C5" s="2"/>
      <c r="D5" s="2"/>
    </row>
    <row r="6" spans="1:4">
      <c r="A6" s="25" t="s">
        <v>60</v>
      </c>
      <c r="B6" s="2">
        <v>2</v>
      </c>
      <c r="C6" s="2"/>
      <c r="D6" s="2"/>
    </row>
    <row r="7" spans="1:4">
      <c r="A7" s="25" t="s">
        <v>61</v>
      </c>
      <c r="B7" s="2">
        <v>16</v>
      </c>
      <c r="C7" s="2"/>
      <c r="D7" s="2"/>
    </row>
    <row r="8" spans="1:4">
      <c r="A8" s="25" t="s">
        <v>72</v>
      </c>
      <c r="B8" s="2">
        <v>566</v>
      </c>
      <c r="C8" s="2"/>
      <c r="D8" s="2"/>
    </row>
    <row r="9" spans="1:4">
      <c r="A9" s="25" t="s">
        <v>62</v>
      </c>
      <c r="B9" s="2">
        <v>45.3</v>
      </c>
      <c r="C9" s="2"/>
      <c r="D9" s="2"/>
    </row>
    <row r="10" spans="1:4">
      <c r="A10" s="25" t="s">
        <v>73</v>
      </c>
      <c r="B10" s="46">
        <v>28</v>
      </c>
      <c r="C10" s="2"/>
      <c r="D10" s="2"/>
    </row>
    <row r="11" spans="1:4" ht="36.75">
      <c r="A11" s="107" t="s">
        <v>1</v>
      </c>
      <c r="B11" s="107" t="s">
        <v>2</v>
      </c>
      <c r="C11" s="107" t="s">
        <v>239</v>
      </c>
      <c r="D11" s="107" t="s">
        <v>4</v>
      </c>
    </row>
    <row r="12" spans="1:4">
      <c r="A12" s="178" t="s">
        <v>5</v>
      </c>
      <c r="B12" s="158"/>
      <c r="C12" s="158"/>
      <c r="D12" s="159"/>
    </row>
    <row r="13" spans="1:4" ht="88.5" customHeight="1">
      <c r="A13" s="104" t="s">
        <v>6</v>
      </c>
      <c r="B13" s="182" t="s">
        <v>8</v>
      </c>
      <c r="C13" s="153">
        <v>1.04</v>
      </c>
      <c r="D13" s="163">
        <f>C13*12*B8</f>
        <v>7063.68</v>
      </c>
    </row>
    <row r="14" spans="1:4" ht="75.75" customHeight="1">
      <c r="A14" s="103" t="s">
        <v>89</v>
      </c>
      <c r="B14" s="183"/>
      <c r="C14" s="162"/>
      <c r="D14" s="164"/>
    </row>
    <row r="15" spans="1:4">
      <c r="A15" s="6" t="s">
        <v>242</v>
      </c>
      <c r="B15" s="107"/>
      <c r="C15" s="26"/>
      <c r="D15" s="30"/>
    </row>
    <row r="16" spans="1:4">
      <c r="A16" s="6" t="s">
        <v>250</v>
      </c>
      <c r="B16" s="108" t="s">
        <v>88</v>
      </c>
      <c r="C16" s="26">
        <v>2.06</v>
      </c>
      <c r="D16" s="30">
        <f>C16*12*B8</f>
        <v>13991.519999999999</v>
      </c>
    </row>
    <row r="17" spans="1:4">
      <c r="A17" s="6" t="s">
        <v>251</v>
      </c>
      <c r="B17" s="109" t="s">
        <v>88</v>
      </c>
      <c r="C17" s="44">
        <v>0.92</v>
      </c>
      <c r="D17" s="30">
        <f>C17*12*B8</f>
        <v>6248.64</v>
      </c>
    </row>
    <row r="18" spans="1:4">
      <c r="A18" s="6" t="s">
        <v>252</v>
      </c>
      <c r="B18" s="110" t="s">
        <v>80</v>
      </c>
      <c r="C18" s="44">
        <v>0.43</v>
      </c>
      <c r="D18" s="30">
        <f>C18*B8*12</f>
        <v>2920.56</v>
      </c>
    </row>
    <row r="19" spans="1:4">
      <c r="A19" s="165" t="s">
        <v>10</v>
      </c>
      <c r="B19" s="165"/>
      <c r="C19" s="165"/>
      <c r="D19" s="165"/>
    </row>
    <row r="20" spans="1:4" ht="13.5" customHeight="1">
      <c r="A20" s="39" t="s">
        <v>97</v>
      </c>
      <c r="B20" s="105"/>
      <c r="C20" s="105"/>
      <c r="D20" s="105"/>
    </row>
    <row r="21" spans="1:4" ht="13.5" customHeight="1">
      <c r="A21" s="6" t="s">
        <v>11</v>
      </c>
      <c r="B21" s="107" t="s">
        <v>75</v>
      </c>
      <c r="C21" s="152">
        <v>2.16</v>
      </c>
      <c r="D21" s="166">
        <f>C21*12*B8</f>
        <v>14670.720000000001</v>
      </c>
    </row>
    <row r="22" spans="1:4" ht="12.75" customHeight="1">
      <c r="A22" s="6" t="s">
        <v>12</v>
      </c>
      <c r="B22" s="107" t="s">
        <v>75</v>
      </c>
      <c r="C22" s="152"/>
      <c r="D22" s="155"/>
    </row>
    <row r="23" spans="1:4" ht="14.25" customHeight="1">
      <c r="A23" s="6" t="s">
        <v>13</v>
      </c>
      <c r="B23" s="107" t="s">
        <v>75</v>
      </c>
      <c r="C23" s="152"/>
      <c r="D23" s="155"/>
    </row>
    <row r="24" spans="1:4" ht="13.5" customHeight="1">
      <c r="A24" s="6" t="s">
        <v>14</v>
      </c>
      <c r="B24" s="107" t="s">
        <v>76</v>
      </c>
      <c r="C24" s="152"/>
      <c r="D24" s="155"/>
    </row>
    <row r="25" spans="1:4" ht="12.75" customHeight="1">
      <c r="A25" s="39" t="s">
        <v>93</v>
      </c>
      <c r="B25" s="107"/>
      <c r="C25" s="152"/>
      <c r="D25" s="155"/>
    </row>
    <row r="26" spans="1:4" ht="30" customHeight="1">
      <c r="A26" s="6" t="s">
        <v>15</v>
      </c>
      <c r="B26" s="107" t="s">
        <v>94</v>
      </c>
      <c r="C26" s="152"/>
      <c r="D26" s="156"/>
    </row>
    <row r="27" spans="1:4" ht="12.75" customHeight="1">
      <c r="A27" s="157" t="s">
        <v>16</v>
      </c>
      <c r="B27" s="158"/>
      <c r="C27" s="158"/>
      <c r="D27" s="159"/>
    </row>
    <row r="28" spans="1:4" ht="12" customHeight="1">
      <c r="A28" s="7" t="s">
        <v>17</v>
      </c>
      <c r="B28" s="21" t="s">
        <v>78</v>
      </c>
      <c r="C28" s="152">
        <v>0.2</v>
      </c>
      <c r="D28" s="167">
        <f>C28*B8*12</f>
        <v>1358.4</v>
      </c>
    </row>
    <row r="29" spans="1:4" ht="12" customHeight="1">
      <c r="A29" s="7" t="s">
        <v>18</v>
      </c>
      <c r="B29" s="21" t="s">
        <v>77</v>
      </c>
      <c r="C29" s="152"/>
      <c r="D29" s="167"/>
    </row>
    <row r="30" spans="1:4" ht="13.5" customHeight="1">
      <c r="A30" s="157" t="s">
        <v>19</v>
      </c>
      <c r="B30" s="158"/>
      <c r="C30" s="158"/>
      <c r="D30" s="159"/>
    </row>
    <row r="31" spans="1:4">
      <c r="A31" s="167" t="s">
        <v>20</v>
      </c>
      <c r="B31" s="167"/>
      <c r="C31" s="167"/>
      <c r="D31" s="167"/>
    </row>
    <row r="32" spans="1:4" ht="37.5" customHeight="1">
      <c r="A32" s="8" t="s">
        <v>21</v>
      </c>
      <c r="B32" s="22" t="s">
        <v>79</v>
      </c>
      <c r="C32" s="152">
        <v>0.52</v>
      </c>
      <c r="D32" s="154">
        <f>C32*B8*12</f>
        <v>3531.84</v>
      </c>
    </row>
    <row r="33" spans="1:4" ht="15" customHeight="1">
      <c r="A33" s="9" t="s">
        <v>23</v>
      </c>
      <c r="B33" s="23" t="s">
        <v>80</v>
      </c>
      <c r="C33" s="152"/>
      <c r="D33" s="155"/>
    </row>
    <row r="34" spans="1:4" ht="13.5" customHeight="1">
      <c r="A34" s="9" t="s">
        <v>25</v>
      </c>
      <c r="B34" s="23" t="s">
        <v>80</v>
      </c>
      <c r="C34" s="152"/>
      <c r="D34" s="155"/>
    </row>
    <row r="35" spans="1:4" ht="36" customHeight="1">
      <c r="A35" s="9" t="s">
        <v>26</v>
      </c>
      <c r="B35" s="22" t="s">
        <v>22</v>
      </c>
      <c r="C35" s="152"/>
      <c r="D35" s="155"/>
    </row>
    <row r="36" spans="1:4" ht="14.25" customHeight="1">
      <c r="A36" s="9" t="s">
        <v>27</v>
      </c>
      <c r="B36" s="23" t="s">
        <v>80</v>
      </c>
      <c r="C36" s="152"/>
      <c r="D36" s="155"/>
    </row>
    <row r="37" spans="1:4" ht="33.75" customHeight="1">
      <c r="A37" s="24" t="s">
        <v>28</v>
      </c>
      <c r="B37" s="22" t="s">
        <v>22</v>
      </c>
      <c r="C37" s="153"/>
      <c r="D37" s="156"/>
    </row>
    <row r="38" spans="1:4" ht="15.75" customHeight="1">
      <c r="A38" s="167" t="s">
        <v>65</v>
      </c>
      <c r="B38" s="167"/>
      <c r="C38" s="167"/>
      <c r="D38" s="167"/>
    </row>
    <row r="39" spans="1:4" ht="36.75" customHeight="1">
      <c r="A39" s="9" t="s">
        <v>66</v>
      </c>
      <c r="B39" s="22" t="s">
        <v>79</v>
      </c>
      <c r="C39" s="154">
        <v>0.89</v>
      </c>
      <c r="D39" s="152">
        <f>C39*12*B8</f>
        <v>6044.88</v>
      </c>
    </row>
    <row r="40" spans="1:4" ht="14.25" customHeight="1">
      <c r="A40" s="9" t="s">
        <v>67</v>
      </c>
      <c r="B40" s="22" t="s">
        <v>80</v>
      </c>
      <c r="C40" s="154"/>
      <c r="D40" s="168"/>
    </row>
    <row r="41" spans="1:4" ht="14.25" customHeight="1">
      <c r="A41" s="9" t="s">
        <v>68</v>
      </c>
      <c r="B41" s="22" t="s">
        <v>80</v>
      </c>
      <c r="C41" s="154"/>
      <c r="D41" s="168"/>
    </row>
    <row r="42" spans="1:4" ht="24" customHeight="1">
      <c r="A42" s="9" t="s">
        <v>69</v>
      </c>
      <c r="B42" s="22" t="s">
        <v>79</v>
      </c>
      <c r="C42" s="154"/>
      <c r="D42" s="168"/>
    </row>
    <row r="43" spans="1:4" ht="25.5" customHeight="1">
      <c r="A43" s="10" t="s">
        <v>70</v>
      </c>
      <c r="B43" s="22" t="s">
        <v>79</v>
      </c>
      <c r="C43" s="154"/>
      <c r="D43" s="168"/>
    </row>
    <row r="44" spans="1:4" ht="14.25" customHeight="1">
      <c r="A44" s="9" t="s">
        <v>71</v>
      </c>
      <c r="B44" s="23" t="s">
        <v>80</v>
      </c>
      <c r="C44" s="154"/>
      <c r="D44" s="162"/>
    </row>
    <row r="45" spans="1:4" ht="11.25" customHeight="1">
      <c r="A45" s="169" t="s">
        <v>29</v>
      </c>
      <c r="B45" s="169"/>
      <c r="C45" s="169"/>
      <c r="D45" s="169"/>
    </row>
    <row r="46" spans="1:4" ht="35.25" customHeight="1">
      <c r="A46" s="9" t="s">
        <v>30</v>
      </c>
      <c r="B46" s="22" t="s">
        <v>22</v>
      </c>
      <c r="C46" s="154">
        <v>0.91</v>
      </c>
      <c r="D46" s="152">
        <f>C46*12*B8</f>
        <v>6180.72</v>
      </c>
    </row>
    <row r="47" spans="1:4" ht="38.25" customHeight="1">
      <c r="A47" s="9" t="s">
        <v>31</v>
      </c>
      <c r="B47" s="22" t="s">
        <v>22</v>
      </c>
      <c r="C47" s="154"/>
      <c r="D47" s="152"/>
    </row>
    <row r="48" spans="1:4" ht="15" customHeight="1">
      <c r="A48" s="10" t="s">
        <v>32</v>
      </c>
      <c r="B48" s="22" t="s">
        <v>22</v>
      </c>
      <c r="C48" s="154"/>
      <c r="D48" s="152"/>
    </row>
    <row r="49" spans="1:4" ht="12.75" customHeight="1">
      <c r="A49" s="167" t="s">
        <v>33</v>
      </c>
      <c r="B49" s="167"/>
      <c r="C49" s="167"/>
      <c r="D49" s="167"/>
    </row>
    <row r="50" spans="1:4" ht="29.25" customHeight="1">
      <c r="A50" s="9" t="s">
        <v>34</v>
      </c>
      <c r="B50" s="22" t="s">
        <v>77</v>
      </c>
      <c r="C50" s="154">
        <v>1.82</v>
      </c>
      <c r="D50" s="154">
        <f>C50*12*B8</f>
        <v>12361.44</v>
      </c>
    </row>
    <row r="51" spans="1:4" ht="14.25" customHeight="1">
      <c r="A51" s="9" t="s">
        <v>35</v>
      </c>
      <c r="B51" s="22" t="s">
        <v>81</v>
      </c>
      <c r="C51" s="154"/>
      <c r="D51" s="154"/>
    </row>
    <row r="52" spans="1:4" ht="17.25" customHeight="1">
      <c r="A52" s="9" t="s">
        <v>36</v>
      </c>
      <c r="B52" s="22" t="s">
        <v>81</v>
      </c>
      <c r="C52" s="154"/>
      <c r="D52" s="154"/>
    </row>
    <row r="53" spans="1:4" ht="24.75" customHeight="1">
      <c r="A53" s="9" t="s">
        <v>37</v>
      </c>
      <c r="B53" s="22" t="s">
        <v>82</v>
      </c>
      <c r="C53" s="154"/>
      <c r="D53" s="154"/>
    </row>
    <row r="54" spans="1:4" ht="30" customHeight="1">
      <c r="A54" s="9" t="s">
        <v>38</v>
      </c>
      <c r="B54" s="22" t="s">
        <v>82</v>
      </c>
      <c r="C54" s="154"/>
      <c r="D54" s="154"/>
    </row>
    <row r="55" spans="1:4" ht="12.75" customHeight="1">
      <c r="A55" s="105" t="s">
        <v>95</v>
      </c>
      <c r="B55" s="6"/>
      <c r="C55" s="154"/>
      <c r="D55" s="154"/>
    </row>
    <row r="56" spans="1:4" ht="35.25" customHeight="1">
      <c r="A56" s="9" t="s">
        <v>40</v>
      </c>
      <c r="B56" s="22" t="s">
        <v>79</v>
      </c>
      <c r="C56" s="154"/>
      <c r="D56" s="154"/>
    </row>
    <row r="57" spans="1:4" ht="14.25" customHeight="1">
      <c r="A57" s="9" t="s">
        <v>41</v>
      </c>
      <c r="B57" s="22" t="s">
        <v>24</v>
      </c>
      <c r="C57" s="154"/>
      <c r="D57" s="154"/>
    </row>
    <row r="58" spans="1:4" ht="14.25" customHeight="1">
      <c r="A58" s="9" t="s">
        <v>42</v>
      </c>
      <c r="B58" s="22" t="s">
        <v>24</v>
      </c>
      <c r="C58" s="154"/>
      <c r="D58" s="154"/>
    </row>
    <row r="59" spans="1:4" ht="13.5" customHeight="1">
      <c r="A59" s="9" t="s">
        <v>43</v>
      </c>
      <c r="B59" s="22" t="s">
        <v>24</v>
      </c>
      <c r="C59" s="154"/>
      <c r="D59" s="154"/>
    </row>
    <row r="60" spans="1:4" ht="13.5" customHeight="1">
      <c r="A60" s="9" t="s">
        <v>44</v>
      </c>
      <c r="B60" s="22" t="s">
        <v>24</v>
      </c>
      <c r="C60" s="154"/>
      <c r="D60" s="154"/>
    </row>
    <row r="61" spans="1:4" ht="36.75" customHeight="1">
      <c r="A61" s="10" t="s">
        <v>45</v>
      </c>
      <c r="B61" s="22" t="s">
        <v>22</v>
      </c>
      <c r="C61" s="154"/>
      <c r="D61" s="154"/>
    </row>
    <row r="62" spans="1:4">
      <c r="A62" s="167" t="s">
        <v>46</v>
      </c>
      <c r="B62" s="167"/>
      <c r="C62" s="167"/>
      <c r="D62" s="167"/>
    </row>
    <row r="63" spans="1:4" ht="15.75" customHeight="1">
      <c r="A63" s="9" t="s">
        <v>47</v>
      </c>
      <c r="B63" s="22" t="s">
        <v>83</v>
      </c>
      <c r="C63" s="153">
        <v>1.77</v>
      </c>
      <c r="D63" s="179">
        <f>C63*B8*12-5134.06</f>
        <v>6887.78</v>
      </c>
    </row>
    <row r="64" spans="1:4" ht="12.75" customHeight="1">
      <c r="A64" s="9" t="s">
        <v>48</v>
      </c>
      <c r="B64" s="22" t="s">
        <v>83</v>
      </c>
      <c r="C64" s="168"/>
      <c r="D64" s="180"/>
    </row>
    <row r="65" spans="1:4" ht="24" customHeight="1">
      <c r="A65" s="9" t="s">
        <v>49</v>
      </c>
      <c r="B65" s="22" t="s">
        <v>84</v>
      </c>
      <c r="C65" s="168"/>
      <c r="D65" s="180"/>
    </row>
    <row r="66" spans="1:4" ht="16.5" customHeight="1">
      <c r="A66" s="9" t="s">
        <v>50</v>
      </c>
      <c r="B66" s="22" t="s">
        <v>83</v>
      </c>
      <c r="C66" s="168"/>
      <c r="D66" s="180"/>
    </row>
    <row r="67" spans="1:4" ht="36.75" customHeight="1">
      <c r="A67" s="10" t="s">
        <v>51</v>
      </c>
      <c r="B67" s="22" t="s">
        <v>22</v>
      </c>
      <c r="C67" s="168"/>
      <c r="D67" s="180"/>
    </row>
    <row r="68" spans="1:4" ht="16.5" customHeight="1">
      <c r="A68" s="10" t="s">
        <v>52</v>
      </c>
      <c r="B68" s="23" t="s">
        <v>84</v>
      </c>
      <c r="C68" s="168"/>
      <c r="D68" s="180"/>
    </row>
    <row r="69" spans="1:4" ht="16.5" customHeight="1">
      <c r="A69" s="53" t="s">
        <v>115</v>
      </c>
      <c r="B69" s="23" t="s">
        <v>116</v>
      </c>
      <c r="C69" s="162"/>
      <c r="D69" s="181"/>
    </row>
    <row r="70" spans="1:4" ht="15" customHeight="1">
      <c r="A70" s="157" t="s">
        <v>55</v>
      </c>
      <c r="B70" s="158"/>
      <c r="C70" s="158"/>
      <c r="D70" s="159"/>
    </row>
    <row r="71" spans="1:4" ht="26.25" customHeight="1">
      <c r="A71" s="175" t="s">
        <v>96</v>
      </c>
      <c r="B71" s="177" t="s">
        <v>86</v>
      </c>
      <c r="C71" s="152">
        <v>2.41</v>
      </c>
      <c r="D71" s="154">
        <f>C71*B8*12</f>
        <v>16368.720000000001</v>
      </c>
    </row>
    <row r="72" spans="1:4" ht="3.75" customHeight="1">
      <c r="A72" s="176"/>
      <c r="B72" s="177"/>
      <c r="C72" s="152"/>
      <c r="D72" s="154"/>
    </row>
    <row r="73" spans="1:4" ht="15" customHeight="1">
      <c r="A73" s="157" t="s">
        <v>55</v>
      </c>
      <c r="B73" s="158"/>
      <c r="C73" s="158"/>
      <c r="D73" s="159"/>
    </row>
    <row r="74" spans="1:4" ht="16.5" customHeight="1">
      <c r="A74" s="6" t="s">
        <v>90</v>
      </c>
      <c r="B74" s="21" t="s">
        <v>87</v>
      </c>
      <c r="C74" s="170">
        <v>2.14</v>
      </c>
      <c r="D74" s="172">
        <f>1211.24+13323.64</f>
        <v>14534.88</v>
      </c>
    </row>
    <row r="75" spans="1:4">
      <c r="A75" s="6" t="s">
        <v>91</v>
      </c>
      <c r="B75" s="21" t="s">
        <v>87</v>
      </c>
      <c r="C75" s="171"/>
      <c r="D75" s="173"/>
    </row>
    <row r="76" spans="1:4" ht="15" customHeight="1">
      <c r="A76" s="6" t="s">
        <v>92</v>
      </c>
      <c r="B76" s="21" t="s">
        <v>87</v>
      </c>
      <c r="C76" s="169"/>
      <c r="D76" s="174"/>
    </row>
    <row r="77" spans="1:4" ht="38.25" customHeight="1">
      <c r="A77" s="6" t="s">
        <v>143</v>
      </c>
      <c r="B77" s="22" t="s">
        <v>22</v>
      </c>
      <c r="C77" s="106">
        <v>4.3499999999999996</v>
      </c>
      <c r="D77" s="106">
        <v>23768.400000000001</v>
      </c>
    </row>
    <row r="78" spans="1:4" ht="18" customHeight="1">
      <c r="A78" s="6" t="s">
        <v>312</v>
      </c>
      <c r="B78" s="22"/>
      <c r="C78" s="124"/>
      <c r="D78" s="124">
        <f>-36.4*19.48*12</f>
        <v>-8508.8639999999996</v>
      </c>
    </row>
    <row r="79" spans="1:4">
      <c r="A79" s="105" t="s">
        <v>56</v>
      </c>
      <c r="B79" s="23"/>
      <c r="C79" s="28">
        <f>C77+C74+C71+C63+C50+C46+C39+C32+C28+C21+C17+C16+C13+C18</f>
        <v>21.62</v>
      </c>
      <c r="D79" s="28">
        <f>D77+D74+D71+D63+D50+D46+D39+D32+D28+D21+D17+D16+D13+D18+D78</f>
        <v>127423.31599999999</v>
      </c>
    </row>
    <row r="80" spans="1:4">
      <c r="C80" t="s">
        <v>201</v>
      </c>
    </row>
    <row r="81" spans="3:4">
      <c r="C81" s="40"/>
      <c r="D81" s="40"/>
    </row>
    <row r="82" spans="3:4">
      <c r="D82" s="40"/>
    </row>
    <row r="83" spans="3:4">
      <c r="D83" s="40"/>
    </row>
    <row r="84" spans="3:4">
      <c r="D84" s="40"/>
    </row>
    <row r="85" spans="3:4">
      <c r="D85" s="40"/>
    </row>
  </sheetData>
  <mergeCells count="34">
    <mergeCell ref="C74:C76"/>
    <mergeCell ref="D74:D76"/>
    <mergeCell ref="A70:D70"/>
    <mergeCell ref="A71:A72"/>
    <mergeCell ref="B71:B72"/>
    <mergeCell ref="C71:C72"/>
    <mergeCell ref="D71:D72"/>
    <mergeCell ref="A73:D73"/>
    <mergeCell ref="A49:D49"/>
    <mergeCell ref="C50:C61"/>
    <mergeCell ref="D50:D61"/>
    <mergeCell ref="A62:D62"/>
    <mergeCell ref="C63:C69"/>
    <mergeCell ref="D63:D69"/>
    <mergeCell ref="A38:D38"/>
    <mergeCell ref="C39:C44"/>
    <mergeCell ref="D39:D44"/>
    <mergeCell ref="A45:D45"/>
    <mergeCell ref="C46:C48"/>
    <mergeCell ref="D46:D48"/>
    <mergeCell ref="C32:C37"/>
    <mergeCell ref="D32:D37"/>
    <mergeCell ref="A12:D12"/>
    <mergeCell ref="B13:B14"/>
    <mergeCell ref="C13:C14"/>
    <mergeCell ref="D13:D14"/>
    <mergeCell ref="A19:D19"/>
    <mergeCell ref="C21:C26"/>
    <mergeCell ref="D21:D26"/>
    <mergeCell ref="A27:D27"/>
    <mergeCell ref="C28:C29"/>
    <mergeCell ref="D28:D29"/>
    <mergeCell ref="A30:D30"/>
    <mergeCell ref="A31:D3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84"/>
  <sheetViews>
    <sheetView topLeftCell="A85" zoomScaleNormal="100" workbookViewId="0">
      <selection activeCell="D81" sqref="D81"/>
    </sheetView>
  </sheetViews>
  <sheetFormatPr defaultRowHeight="15"/>
  <cols>
    <col min="1" max="1" width="93.5703125" customWidth="1"/>
    <col min="2" max="2" width="13" customWidth="1"/>
    <col min="3" max="3" width="11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238</v>
      </c>
      <c r="B2" s="2"/>
      <c r="C2" s="2"/>
      <c r="D2" s="2"/>
    </row>
    <row r="3" spans="1:4">
      <c r="A3" s="1" t="s">
        <v>241</v>
      </c>
      <c r="B3" s="2"/>
      <c r="C3" s="2"/>
      <c r="D3" s="2"/>
    </row>
    <row r="4" spans="1:4">
      <c r="A4" s="25" t="s">
        <v>58</v>
      </c>
      <c r="B4" s="2">
        <v>1977</v>
      </c>
      <c r="C4" s="2"/>
      <c r="D4" s="2"/>
    </row>
    <row r="5" spans="1:4">
      <c r="A5" s="25" t="s">
        <v>59</v>
      </c>
      <c r="B5" s="2">
        <v>5</v>
      </c>
      <c r="C5" s="2"/>
      <c r="D5" s="2"/>
    </row>
    <row r="6" spans="1:4">
      <c r="A6" s="25" t="s">
        <v>60</v>
      </c>
      <c r="B6" s="2">
        <v>3</v>
      </c>
      <c r="C6" s="2"/>
      <c r="D6" s="2"/>
    </row>
    <row r="7" spans="1:4">
      <c r="A7" s="25" t="s">
        <v>61</v>
      </c>
      <c r="B7" s="2">
        <v>39</v>
      </c>
      <c r="C7" s="2"/>
      <c r="D7" s="2"/>
    </row>
    <row r="8" spans="1:4">
      <c r="A8" s="25" t="s">
        <v>72</v>
      </c>
      <c r="B8" s="2">
        <v>1901.5</v>
      </c>
      <c r="C8" s="2"/>
      <c r="D8" s="2"/>
    </row>
    <row r="9" spans="1:4">
      <c r="A9" s="25" t="s">
        <v>62</v>
      </c>
      <c r="B9" s="2">
        <v>223.9</v>
      </c>
      <c r="C9" s="2"/>
      <c r="D9" s="2"/>
    </row>
    <row r="10" spans="1:4">
      <c r="A10" s="25" t="s">
        <v>73</v>
      </c>
      <c r="B10" s="46">
        <v>443.2</v>
      </c>
      <c r="C10" s="2"/>
      <c r="D10" s="2"/>
    </row>
    <row r="11" spans="1:4" ht="36.75">
      <c r="A11" s="94" t="s">
        <v>1</v>
      </c>
      <c r="B11" s="94" t="s">
        <v>2</v>
      </c>
      <c r="C11" s="94" t="s">
        <v>239</v>
      </c>
      <c r="D11" s="94" t="s">
        <v>4</v>
      </c>
    </row>
    <row r="12" spans="1:4">
      <c r="A12" s="178" t="s">
        <v>5</v>
      </c>
      <c r="B12" s="158"/>
      <c r="C12" s="158"/>
      <c r="D12" s="159"/>
    </row>
    <row r="13" spans="1:4" ht="88.5" customHeight="1">
      <c r="A13" s="104" t="s">
        <v>6</v>
      </c>
      <c r="B13" s="182" t="s">
        <v>8</v>
      </c>
      <c r="C13" s="153">
        <v>2.14</v>
      </c>
      <c r="D13" s="163">
        <f>C13*12*B8</f>
        <v>48830.52</v>
      </c>
    </row>
    <row r="14" spans="1:4" ht="75.75" customHeight="1">
      <c r="A14" s="103" t="s">
        <v>89</v>
      </c>
      <c r="B14" s="183"/>
      <c r="C14" s="162"/>
      <c r="D14" s="164"/>
    </row>
    <row r="15" spans="1:4">
      <c r="A15" s="6" t="s">
        <v>242</v>
      </c>
      <c r="B15" s="94"/>
      <c r="C15" s="26"/>
      <c r="D15" s="30"/>
    </row>
    <row r="16" spans="1:4">
      <c r="A16" s="6" t="s">
        <v>245</v>
      </c>
      <c r="B16" s="102" t="s">
        <v>84</v>
      </c>
      <c r="C16" s="26">
        <v>0.21</v>
      </c>
      <c r="D16" s="30">
        <f>C16*B8*12</f>
        <v>4791.78</v>
      </c>
    </row>
    <row r="17" spans="1:4">
      <c r="A17" s="6" t="s">
        <v>243</v>
      </c>
      <c r="B17" s="102" t="s">
        <v>244</v>
      </c>
      <c r="C17" s="44">
        <v>0.33</v>
      </c>
      <c r="D17" s="30">
        <f>C17*B8*12</f>
        <v>7529.9400000000005</v>
      </c>
    </row>
    <row r="18" spans="1:4">
      <c r="A18" s="165" t="s">
        <v>10</v>
      </c>
      <c r="B18" s="165"/>
      <c r="C18" s="165"/>
      <c r="D18" s="165"/>
    </row>
    <row r="19" spans="1:4" ht="13.5" customHeight="1">
      <c r="A19" s="39" t="s">
        <v>97</v>
      </c>
      <c r="B19" s="95"/>
      <c r="C19" s="95"/>
      <c r="D19" s="95"/>
    </row>
    <row r="20" spans="1:4" ht="13.5" customHeight="1">
      <c r="A20" s="6" t="s">
        <v>11</v>
      </c>
      <c r="B20" s="94" t="s">
        <v>75</v>
      </c>
      <c r="C20" s="152">
        <v>2.16</v>
      </c>
      <c r="D20" s="166">
        <f>C20*12*B8</f>
        <v>49286.880000000005</v>
      </c>
    </row>
    <row r="21" spans="1:4" ht="12.75" customHeight="1">
      <c r="A21" s="6" t="s">
        <v>12</v>
      </c>
      <c r="B21" s="94" t="s">
        <v>75</v>
      </c>
      <c r="C21" s="152"/>
      <c r="D21" s="155"/>
    </row>
    <row r="22" spans="1:4" ht="14.25" customHeight="1">
      <c r="A22" s="6" t="s">
        <v>13</v>
      </c>
      <c r="B22" s="94" t="s">
        <v>75</v>
      </c>
      <c r="C22" s="152"/>
      <c r="D22" s="155"/>
    </row>
    <row r="23" spans="1:4" ht="13.5" customHeight="1">
      <c r="A23" s="6" t="s">
        <v>14</v>
      </c>
      <c r="B23" s="94" t="s">
        <v>76</v>
      </c>
      <c r="C23" s="152"/>
      <c r="D23" s="155"/>
    </row>
    <row r="24" spans="1:4" ht="12.75" customHeight="1">
      <c r="A24" s="39" t="s">
        <v>93</v>
      </c>
      <c r="B24" s="94"/>
      <c r="C24" s="152"/>
      <c r="D24" s="155"/>
    </row>
    <row r="25" spans="1:4" ht="30" customHeight="1">
      <c r="A25" s="6" t="s">
        <v>15</v>
      </c>
      <c r="B25" s="94" t="s">
        <v>94</v>
      </c>
      <c r="C25" s="152"/>
      <c r="D25" s="156"/>
    </row>
    <row r="26" spans="1:4" ht="12.75" customHeight="1">
      <c r="A26" s="157" t="s">
        <v>16</v>
      </c>
      <c r="B26" s="158"/>
      <c r="C26" s="158"/>
      <c r="D26" s="159"/>
    </row>
    <row r="27" spans="1:4" ht="12" customHeight="1">
      <c r="A27" s="7" t="s">
        <v>17</v>
      </c>
      <c r="B27" s="21" t="s">
        <v>78</v>
      </c>
      <c r="C27" s="152">
        <v>0.2</v>
      </c>
      <c r="D27" s="167">
        <f>C27*B8*12</f>
        <v>4563.6000000000004</v>
      </c>
    </row>
    <row r="28" spans="1:4" ht="12" customHeight="1">
      <c r="A28" s="7" t="s">
        <v>18</v>
      </c>
      <c r="B28" s="21" t="s">
        <v>77</v>
      </c>
      <c r="C28" s="152"/>
      <c r="D28" s="167"/>
    </row>
    <row r="29" spans="1:4" ht="13.5" customHeight="1">
      <c r="A29" s="157" t="s">
        <v>19</v>
      </c>
      <c r="B29" s="158"/>
      <c r="C29" s="158"/>
      <c r="D29" s="159"/>
    </row>
    <row r="30" spans="1:4">
      <c r="A30" s="167" t="s">
        <v>20</v>
      </c>
      <c r="B30" s="167"/>
      <c r="C30" s="167"/>
      <c r="D30" s="167"/>
    </row>
    <row r="31" spans="1:4" ht="37.5" customHeight="1">
      <c r="A31" s="8" t="s">
        <v>21</v>
      </c>
      <c r="B31" s="22" t="s">
        <v>79</v>
      </c>
      <c r="C31" s="152">
        <v>0.79</v>
      </c>
      <c r="D31" s="154">
        <f>C31*B8*12</f>
        <v>18026.22</v>
      </c>
    </row>
    <row r="32" spans="1:4" ht="15" customHeight="1">
      <c r="A32" s="9" t="s">
        <v>23</v>
      </c>
      <c r="B32" s="23" t="s">
        <v>80</v>
      </c>
      <c r="C32" s="152"/>
      <c r="D32" s="155"/>
    </row>
    <row r="33" spans="1:4" ht="13.5" customHeight="1">
      <c r="A33" s="9" t="s">
        <v>25</v>
      </c>
      <c r="B33" s="23" t="s">
        <v>80</v>
      </c>
      <c r="C33" s="152"/>
      <c r="D33" s="155"/>
    </row>
    <row r="34" spans="1:4" ht="36" customHeight="1">
      <c r="A34" s="9" t="s">
        <v>26</v>
      </c>
      <c r="B34" s="22" t="s">
        <v>22</v>
      </c>
      <c r="C34" s="152"/>
      <c r="D34" s="155"/>
    </row>
    <row r="35" spans="1:4" ht="14.25" customHeight="1">
      <c r="A35" s="9" t="s">
        <v>27</v>
      </c>
      <c r="B35" s="23" t="s">
        <v>80</v>
      </c>
      <c r="C35" s="152"/>
      <c r="D35" s="155"/>
    </row>
    <row r="36" spans="1:4" ht="33.75" customHeight="1">
      <c r="A36" s="24" t="s">
        <v>28</v>
      </c>
      <c r="B36" s="22" t="s">
        <v>22</v>
      </c>
      <c r="C36" s="153"/>
      <c r="D36" s="156"/>
    </row>
    <row r="37" spans="1:4" ht="15.75" customHeight="1">
      <c r="A37" s="167" t="s">
        <v>65</v>
      </c>
      <c r="B37" s="167"/>
      <c r="C37" s="167"/>
      <c r="D37" s="167"/>
    </row>
    <row r="38" spans="1:4" ht="36.75" customHeight="1">
      <c r="A38" s="9" t="s">
        <v>66</v>
      </c>
      <c r="B38" s="22" t="s">
        <v>79</v>
      </c>
      <c r="C38" s="154">
        <v>1.29</v>
      </c>
      <c r="D38" s="152">
        <f>C38*12*B8</f>
        <v>29435.22</v>
      </c>
    </row>
    <row r="39" spans="1:4" ht="14.25" customHeight="1">
      <c r="A39" s="9" t="s">
        <v>67</v>
      </c>
      <c r="B39" s="22" t="s">
        <v>80</v>
      </c>
      <c r="C39" s="154"/>
      <c r="D39" s="168"/>
    </row>
    <row r="40" spans="1:4" ht="14.25" customHeight="1">
      <c r="A40" s="9" t="s">
        <v>68</v>
      </c>
      <c r="B40" s="22" t="s">
        <v>80</v>
      </c>
      <c r="C40" s="154"/>
      <c r="D40" s="168"/>
    </row>
    <row r="41" spans="1:4" ht="24" customHeight="1">
      <c r="A41" s="9" t="s">
        <v>69</v>
      </c>
      <c r="B41" s="22" t="s">
        <v>79</v>
      </c>
      <c r="C41" s="154"/>
      <c r="D41" s="168"/>
    </row>
    <row r="42" spans="1:4" ht="25.5" customHeight="1">
      <c r="A42" s="10" t="s">
        <v>70</v>
      </c>
      <c r="B42" s="22" t="s">
        <v>79</v>
      </c>
      <c r="C42" s="154"/>
      <c r="D42" s="168"/>
    </row>
    <row r="43" spans="1:4" ht="14.25" customHeight="1">
      <c r="A43" s="9" t="s">
        <v>71</v>
      </c>
      <c r="B43" s="23" t="s">
        <v>80</v>
      </c>
      <c r="C43" s="154"/>
      <c r="D43" s="162"/>
    </row>
    <row r="44" spans="1:4" ht="11.25" customHeight="1">
      <c r="A44" s="169" t="s">
        <v>29</v>
      </c>
      <c r="B44" s="169"/>
      <c r="C44" s="169"/>
      <c r="D44" s="169"/>
    </row>
    <row r="45" spans="1:4" ht="35.25" customHeight="1">
      <c r="A45" s="9" t="s">
        <v>30</v>
      </c>
      <c r="B45" s="22" t="s">
        <v>22</v>
      </c>
      <c r="C45" s="154">
        <v>0.91</v>
      </c>
      <c r="D45" s="152">
        <f>C45*12*B8</f>
        <v>20764.38</v>
      </c>
    </row>
    <row r="46" spans="1:4" ht="38.25" customHeight="1">
      <c r="A46" s="9" t="s">
        <v>31</v>
      </c>
      <c r="B46" s="22" t="s">
        <v>22</v>
      </c>
      <c r="C46" s="154"/>
      <c r="D46" s="152"/>
    </row>
    <row r="47" spans="1:4" ht="15" customHeight="1">
      <c r="A47" s="10" t="s">
        <v>32</v>
      </c>
      <c r="B47" s="22" t="s">
        <v>22</v>
      </c>
      <c r="C47" s="154"/>
      <c r="D47" s="152"/>
    </row>
    <row r="48" spans="1:4" ht="12.75" customHeight="1">
      <c r="A48" s="167" t="s">
        <v>33</v>
      </c>
      <c r="B48" s="167"/>
      <c r="C48" s="167"/>
      <c r="D48" s="167"/>
    </row>
    <row r="49" spans="1:4" ht="29.25" customHeight="1">
      <c r="A49" s="9" t="s">
        <v>34</v>
      </c>
      <c r="B49" s="22" t="s">
        <v>77</v>
      </c>
      <c r="C49" s="154">
        <v>2.75</v>
      </c>
      <c r="D49" s="154">
        <f>C49*12*B8</f>
        <v>62749.5</v>
      </c>
    </row>
    <row r="50" spans="1:4" ht="14.25" customHeight="1">
      <c r="A50" s="9" t="s">
        <v>35</v>
      </c>
      <c r="B50" s="22" t="s">
        <v>81</v>
      </c>
      <c r="C50" s="154"/>
      <c r="D50" s="154"/>
    </row>
    <row r="51" spans="1:4" ht="17.25" customHeight="1">
      <c r="A51" s="9" t="s">
        <v>36</v>
      </c>
      <c r="B51" s="22" t="s">
        <v>81</v>
      </c>
      <c r="C51" s="154"/>
      <c r="D51" s="154"/>
    </row>
    <row r="52" spans="1:4" ht="24.75" customHeight="1">
      <c r="A52" s="9" t="s">
        <v>37</v>
      </c>
      <c r="B52" s="22" t="s">
        <v>82</v>
      </c>
      <c r="C52" s="154"/>
      <c r="D52" s="154"/>
    </row>
    <row r="53" spans="1:4" ht="30" customHeight="1">
      <c r="A53" s="9" t="s">
        <v>38</v>
      </c>
      <c r="B53" s="22" t="s">
        <v>82</v>
      </c>
      <c r="C53" s="154"/>
      <c r="D53" s="154"/>
    </row>
    <row r="54" spans="1:4" ht="12.75" customHeight="1">
      <c r="A54" s="95" t="s">
        <v>95</v>
      </c>
      <c r="B54" s="6"/>
      <c r="C54" s="154"/>
      <c r="D54" s="154"/>
    </row>
    <row r="55" spans="1:4" ht="35.25" customHeight="1">
      <c r="A55" s="9" t="s">
        <v>40</v>
      </c>
      <c r="B55" s="22" t="s">
        <v>79</v>
      </c>
      <c r="C55" s="154"/>
      <c r="D55" s="154"/>
    </row>
    <row r="56" spans="1:4" ht="14.25" customHeight="1">
      <c r="A56" s="9" t="s">
        <v>41</v>
      </c>
      <c r="B56" s="22" t="s">
        <v>24</v>
      </c>
      <c r="C56" s="154"/>
      <c r="D56" s="154"/>
    </row>
    <row r="57" spans="1:4" ht="14.25" customHeight="1">
      <c r="A57" s="9" t="s">
        <v>42</v>
      </c>
      <c r="B57" s="22" t="s">
        <v>24</v>
      </c>
      <c r="C57" s="154"/>
      <c r="D57" s="154"/>
    </row>
    <row r="58" spans="1:4" ht="13.5" customHeight="1">
      <c r="A58" s="9" t="s">
        <v>43</v>
      </c>
      <c r="B58" s="22" t="s">
        <v>24</v>
      </c>
      <c r="C58" s="154"/>
      <c r="D58" s="154"/>
    </row>
    <row r="59" spans="1:4" ht="13.5" customHeight="1">
      <c r="A59" s="9" t="s">
        <v>44</v>
      </c>
      <c r="B59" s="22" t="s">
        <v>24</v>
      </c>
      <c r="C59" s="154"/>
      <c r="D59" s="154"/>
    </row>
    <row r="60" spans="1:4" ht="36.75" customHeight="1">
      <c r="A60" s="10" t="s">
        <v>45</v>
      </c>
      <c r="B60" s="22" t="s">
        <v>22</v>
      </c>
      <c r="C60" s="154"/>
      <c r="D60" s="154"/>
    </row>
    <row r="61" spans="1:4">
      <c r="A61" s="167" t="s">
        <v>46</v>
      </c>
      <c r="B61" s="167"/>
      <c r="C61" s="167"/>
      <c r="D61" s="167"/>
    </row>
    <row r="62" spans="1:4" ht="15.75" customHeight="1">
      <c r="A62" s="9" t="s">
        <v>47</v>
      </c>
      <c r="B62" s="22" t="s">
        <v>83</v>
      </c>
      <c r="C62" s="153">
        <v>1.94</v>
      </c>
      <c r="D62" s="179">
        <f>C62*B8*12+5606.16</f>
        <v>49873.08</v>
      </c>
    </row>
    <row r="63" spans="1:4" ht="12.75" customHeight="1">
      <c r="A63" s="9" t="s">
        <v>48</v>
      </c>
      <c r="B63" s="22" t="s">
        <v>83</v>
      </c>
      <c r="C63" s="168"/>
      <c r="D63" s="180"/>
    </row>
    <row r="64" spans="1:4" ht="24" customHeight="1">
      <c r="A64" s="9" t="s">
        <v>49</v>
      </c>
      <c r="B64" s="22" t="s">
        <v>84</v>
      </c>
      <c r="C64" s="168"/>
      <c r="D64" s="180"/>
    </row>
    <row r="65" spans="1:4" ht="16.5" customHeight="1">
      <c r="A65" s="9" t="s">
        <v>50</v>
      </c>
      <c r="B65" s="22" t="s">
        <v>83</v>
      </c>
      <c r="C65" s="168"/>
      <c r="D65" s="180"/>
    </row>
    <row r="66" spans="1:4" ht="36.75" customHeight="1">
      <c r="A66" s="10" t="s">
        <v>51</v>
      </c>
      <c r="B66" s="22" t="s">
        <v>22</v>
      </c>
      <c r="C66" s="168"/>
      <c r="D66" s="180"/>
    </row>
    <row r="67" spans="1:4" ht="16.5" customHeight="1">
      <c r="A67" s="10" t="s">
        <v>52</v>
      </c>
      <c r="B67" s="23" t="s">
        <v>84</v>
      </c>
      <c r="C67" s="168"/>
      <c r="D67" s="180"/>
    </row>
    <row r="68" spans="1:4" ht="16.5" customHeight="1">
      <c r="A68" s="53" t="s">
        <v>115</v>
      </c>
      <c r="B68" s="23" t="s">
        <v>116</v>
      </c>
      <c r="C68" s="162"/>
      <c r="D68" s="181"/>
    </row>
    <row r="69" spans="1:4" ht="15" customHeight="1">
      <c r="A69" s="157" t="s">
        <v>55</v>
      </c>
      <c r="B69" s="158"/>
      <c r="C69" s="158"/>
      <c r="D69" s="159"/>
    </row>
    <row r="70" spans="1:4" ht="26.25" customHeight="1">
      <c r="A70" s="175" t="s">
        <v>96</v>
      </c>
      <c r="B70" s="177" t="s">
        <v>86</v>
      </c>
      <c r="C70" s="152">
        <v>2.41</v>
      </c>
      <c r="D70" s="154">
        <f>C70*B8*12</f>
        <v>54991.380000000005</v>
      </c>
    </row>
    <row r="71" spans="1:4" ht="3.75" customHeight="1">
      <c r="A71" s="176"/>
      <c r="B71" s="177"/>
      <c r="C71" s="152"/>
      <c r="D71" s="154"/>
    </row>
    <row r="72" spans="1:4" ht="15" customHeight="1">
      <c r="A72" s="157" t="s">
        <v>55</v>
      </c>
      <c r="B72" s="158"/>
      <c r="C72" s="158"/>
      <c r="D72" s="159"/>
    </row>
    <row r="73" spans="1:4" ht="16.5" customHeight="1">
      <c r="A73" s="6" t="s">
        <v>90</v>
      </c>
      <c r="B73" s="21" t="s">
        <v>87</v>
      </c>
      <c r="C73" s="170">
        <v>2.14</v>
      </c>
      <c r="D73" s="172">
        <f>4069.21+44108.2</f>
        <v>48177.409999999996</v>
      </c>
    </row>
    <row r="74" spans="1:4">
      <c r="A74" s="6" t="s">
        <v>91</v>
      </c>
      <c r="B74" s="21" t="s">
        <v>87</v>
      </c>
      <c r="C74" s="171"/>
      <c r="D74" s="173"/>
    </row>
    <row r="75" spans="1:4" ht="15" customHeight="1">
      <c r="A75" s="6" t="s">
        <v>92</v>
      </c>
      <c r="B75" s="21" t="s">
        <v>87</v>
      </c>
      <c r="C75" s="169"/>
      <c r="D75" s="174"/>
    </row>
    <row r="76" spans="1:4" ht="38.25" customHeight="1">
      <c r="A76" s="6" t="s">
        <v>143</v>
      </c>
      <c r="B76" s="22" t="s">
        <v>22</v>
      </c>
      <c r="C76" s="93">
        <v>4.3499999999999996</v>
      </c>
      <c r="D76" s="93">
        <f>C76*12*B8</f>
        <v>99258.299999999988</v>
      </c>
    </row>
    <row r="77" spans="1:4" ht="18" customHeight="1">
      <c r="A77" s="6" t="s">
        <v>246</v>
      </c>
      <c r="B77" s="22"/>
      <c r="C77" s="101"/>
      <c r="D77" s="101">
        <f>-51.1*19.48*12</f>
        <v>-11945.136</v>
      </c>
    </row>
    <row r="78" spans="1:4">
      <c r="A78" s="95" t="s">
        <v>56</v>
      </c>
      <c r="B78" s="23"/>
      <c r="C78" s="28">
        <f>C76+C73+C70+C62+C49+C45+C38+C31+C27+C20+C17+C16+C13</f>
        <v>21.619999999999997</v>
      </c>
      <c r="D78" s="28">
        <f>D76+D73+D70+D62+D49+D45+D38+D31+D27+D20+D17+D16+D13+D77</f>
        <v>486333.07400000002</v>
      </c>
    </row>
    <row r="79" spans="1:4">
      <c r="C79" t="s">
        <v>201</v>
      </c>
    </row>
    <row r="80" spans="1:4">
      <c r="D80" s="40"/>
    </row>
    <row r="81" spans="4:4">
      <c r="D81" s="40"/>
    </row>
    <row r="82" spans="4:4">
      <c r="D82" s="40"/>
    </row>
    <row r="83" spans="4:4">
      <c r="D83" s="40"/>
    </row>
    <row r="84" spans="4:4">
      <c r="D84" s="40"/>
    </row>
  </sheetData>
  <mergeCells count="34">
    <mergeCell ref="A44:D44"/>
    <mergeCell ref="C45:C47"/>
    <mergeCell ref="D45:D47"/>
    <mergeCell ref="C38:C43"/>
    <mergeCell ref="D38:D43"/>
    <mergeCell ref="A37:D37"/>
    <mergeCell ref="A12:D12"/>
    <mergeCell ref="A18:D18"/>
    <mergeCell ref="C20:C25"/>
    <mergeCell ref="D20:D25"/>
    <mergeCell ref="A26:D26"/>
    <mergeCell ref="D13:D14"/>
    <mergeCell ref="B13:B14"/>
    <mergeCell ref="C13:C14"/>
    <mergeCell ref="C27:C28"/>
    <mergeCell ref="D27:D28"/>
    <mergeCell ref="A29:D29"/>
    <mergeCell ref="A30:D30"/>
    <mergeCell ref="C31:C36"/>
    <mergeCell ref="D31:D36"/>
    <mergeCell ref="A48:D48"/>
    <mergeCell ref="A72:D72"/>
    <mergeCell ref="C73:C75"/>
    <mergeCell ref="D73:D75"/>
    <mergeCell ref="A61:D61"/>
    <mergeCell ref="C62:C68"/>
    <mergeCell ref="D62:D68"/>
    <mergeCell ref="A70:A71"/>
    <mergeCell ref="B70:B71"/>
    <mergeCell ref="C70:C71"/>
    <mergeCell ref="D70:D71"/>
    <mergeCell ref="A69:D69"/>
    <mergeCell ref="C49:C60"/>
    <mergeCell ref="D49:D6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82"/>
  <sheetViews>
    <sheetView topLeftCell="A34" workbookViewId="0">
      <selection activeCell="D78" sqref="D78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5">
      <c r="A1" s="1" t="s">
        <v>0</v>
      </c>
      <c r="B1" s="2"/>
      <c r="C1" s="2"/>
      <c r="D1" s="2" t="s">
        <v>64</v>
      </c>
    </row>
    <row r="2" spans="1:5">
      <c r="A2" s="1" t="s">
        <v>237</v>
      </c>
      <c r="B2" s="2"/>
      <c r="C2" s="2"/>
      <c r="D2" s="2"/>
    </row>
    <row r="3" spans="1:5">
      <c r="A3" s="1" t="s">
        <v>268</v>
      </c>
      <c r="B3" s="2"/>
      <c r="C3" s="2"/>
      <c r="D3" s="2"/>
    </row>
    <row r="4" spans="1:5">
      <c r="A4" s="25" t="s">
        <v>58</v>
      </c>
      <c r="B4" s="2">
        <v>1976</v>
      </c>
      <c r="C4" s="2"/>
      <c r="D4" s="2"/>
    </row>
    <row r="5" spans="1:5">
      <c r="A5" s="25" t="s">
        <v>59</v>
      </c>
      <c r="B5" s="2">
        <v>5</v>
      </c>
      <c r="C5" s="2"/>
      <c r="D5" s="2"/>
    </row>
    <row r="6" spans="1:5">
      <c r="A6" s="25" t="s">
        <v>60</v>
      </c>
      <c r="B6" s="2">
        <v>4</v>
      </c>
      <c r="C6" s="2"/>
      <c r="D6" s="2"/>
    </row>
    <row r="7" spans="1:5">
      <c r="A7" s="25" t="s">
        <v>61</v>
      </c>
      <c r="B7" s="2">
        <v>66</v>
      </c>
      <c r="C7" s="2"/>
      <c r="D7" s="2"/>
    </row>
    <row r="8" spans="1:5">
      <c r="A8" s="25" t="s">
        <v>72</v>
      </c>
      <c r="B8" s="2">
        <v>3075.4</v>
      </c>
      <c r="C8" s="2"/>
      <c r="D8" s="2"/>
    </row>
    <row r="9" spans="1:5">
      <c r="A9" s="25" t="s">
        <v>62</v>
      </c>
      <c r="B9" s="2">
        <v>261.7</v>
      </c>
      <c r="C9" s="2"/>
      <c r="D9" s="2"/>
    </row>
    <row r="10" spans="1:5">
      <c r="A10" s="25" t="s">
        <v>73</v>
      </c>
      <c r="B10" s="46">
        <v>709.8</v>
      </c>
      <c r="C10" s="2"/>
      <c r="D10" s="2"/>
    </row>
    <row r="11" spans="1:5" ht="36.75">
      <c r="A11" s="94" t="s">
        <v>1</v>
      </c>
      <c r="B11" s="94" t="s">
        <v>2</v>
      </c>
      <c r="C11" s="94" t="s">
        <v>3</v>
      </c>
      <c r="D11" s="94" t="s">
        <v>4</v>
      </c>
    </row>
    <row r="12" spans="1:5">
      <c r="A12" s="178" t="s">
        <v>5</v>
      </c>
      <c r="B12" s="158"/>
      <c r="C12" s="158"/>
      <c r="D12" s="159"/>
    </row>
    <row r="13" spans="1:5" ht="88.5" customHeight="1">
      <c r="A13" s="104" t="s">
        <v>6</v>
      </c>
      <c r="B13" s="160" t="s">
        <v>8</v>
      </c>
      <c r="C13" s="153">
        <v>1.28</v>
      </c>
      <c r="D13" s="163">
        <f>C13*12*B8</f>
        <v>47238.144</v>
      </c>
    </row>
    <row r="14" spans="1:5" ht="75.75" customHeight="1">
      <c r="A14" s="103" t="s">
        <v>89</v>
      </c>
      <c r="B14" s="161"/>
      <c r="C14" s="162"/>
      <c r="D14" s="164"/>
      <c r="E14" s="116"/>
    </row>
    <row r="15" spans="1:5">
      <c r="A15" s="103" t="s">
        <v>9</v>
      </c>
      <c r="B15" s="94"/>
      <c r="C15" s="26"/>
      <c r="D15" s="30"/>
    </row>
    <row r="16" spans="1:5">
      <c r="A16" s="6" t="s">
        <v>296</v>
      </c>
      <c r="B16" s="122" t="s">
        <v>200</v>
      </c>
      <c r="C16" s="44">
        <v>2.1</v>
      </c>
      <c r="D16" s="30">
        <f>C16*12*B8</f>
        <v>77500.080000000016</v>
      </c>
    </row>
    <row r="17" spans="1:4">
      <c r="A17" s="165" t="s">
        <v>10</v>
      </c>
      <c r="B17" s="165"/>
      <c r="C17" s="165"/>
      <c r="D17" s="165"/>
    </row>
    <row r="18" spans="1:4" ht="13.5" customHeight="1">
      <c r="A18" s="39" t="s">
        <v>97</v>
      </c>
      <c r="B18" s="95"/>
      <c r="C18" s="95"/>
      <c r="D18" s="95"/>
    </row>
    <row r="19" spans="1:4" ht="13.5" customHeight="1">
      <c r="A19" s="6" t="s">
        <v>11</v>
      </c>
      <c r="B19" s="94" t="s">
        <v>75</v>
      </c>
      <c r="C19" s="152">
        <v>2.16</v>
      </c>
      <c r="D19" s="166">
        <f>C19*B8*12</f>
        <v>79714.368000000002</v>
      </c>
    </row>
    <row r="20" spans="1:4" ht="12.75" customHeight="1">
      <c r="A20" s="6" t="s">
        <v>12</v>
      </c>
      <c r="B20" s="94" t="s">
        <v>75</v>
      </c>
      <c r="C20" s="152"/>
      <c r="D20" s="155"/>
    </row>
    <row r="21" spans="1:4" ht="14.25" customHeight="1">
      <c r="A21" s="6" t="s">
        <v>13</v>
      </c>
      <c r="B21" s="94" t="s">
        <v>75</v>
      </c>
      <c r="C21" s="152"/>
      <c r="D21" s="155"/>
    </row>
    <row r="22" spans="1:4" ht="13.5" customHeight="1">
      <c r="A22" s="6" t="s">
        <v>14</v>
      </c>
      <c r="B22" s="94" t="s">
        <v>76</v>
      </c>
      <c r="C22" s="152"/>
      <c r="D22" s="155"/>
    </row>
    <row r="23" spans="1:4" ht="12.75" customHeight="1">
      <c r="A23" s="39" t="s">
        <v>93</v>
      </c>
      <c r="B23" s="94"/>
      <c r="C23" s="152"/>
      <c r="D23" s="155"/>
    </row>
    <row r="24" spans="1:4" ht="30" customHeight="1">
      <c r="A24" s="6" t="s">
        <v>15</v>
      </c>
      <c r="B24" s="94" t="s">
        <v>94</v>
      </c>
      <c r="C24" s="152"/>
      <c r="D24" s="156"/>
    </row>
    <row r="25" spans="1:4" ht="12.75" customHeight="1">
      <c r="A25" s="157" t="s">
        <v>16</v>
      </c>
      <c r="B25" s="158"/>
      <c r="C25" s="158"/>
      <c r="D25" s="159"/>
    </row>
    <row r="26" spans="1:4" ht="12" customHeight="1">
      <c r="A26" s="7" t="s">
        <v>17</v>
      </c>
      <c r="B26" s="21" t="s">
        <v>78</v>
      </c>
      <c r="C26" s="152">
        <v>0.2</v>
      </c>
      <c r="D26" s="167">
        <f>C26*B8*12</f>
        <v>7380.9600000000009</v>
      </c>
    </row>
    <row r="27" spans="1:4" ht="12" customHeight="1">
      <c r="A27" s="7" t="s">
        <v>18</v>
      </c>
      <c r="B27" s="21" t="s">
        <v>77</v>
      </c>
      <c r="C27" s="152"/>
      <c r="D27" s="167"/>
    </row>
    <row r="28" spans="1:4" ht="13.5" customHeight="1">
      <c r="A28" s="157" t="s">
        <v>19</v>
      </c>
      <c r="B28" s="158"/>
      <c r="C28" s="158"/>
      <c r="D28" s="159"/>
    </row>
    <row r="29" spans="1:4">
      <c r="A29" s="167" t="s">
        <v>20</v>
      </c>
      <c r="B29" s="167"/>
      <c r="C29" s="167"/>
      <c r="D29" s="167"/>
    </row>
    <row r="30" spans="1:4" ht="37.5" customHeight="1">
      <c r="A30" s="8" t="s">
        <v>21</v>
      </c>
      <c r="B30" s="22" t="s">
        <v>79</v>
      </c>
      <c r="C30" s="152">
        <v>0.52</v>
      </c>
      <c r="D30" s="154">
        <f>C30*12*B8</f>
        <v>19190.496000000003</v>
      </c>
    </row>
    <row r="31" spans="1:4" ht="15" customHeight="1">
      <c r="A31" s="9" t="s">
        <v>23</v>
      </c>
      <c r="B31" s="23" t="s">
        <v>80</v>
      </c>
      <c r="C31" s="152"/>
      <c r="D31" s="155"/>
    </row>
    <row r="32" spans="1:4" ht="13.5" customHeight="1">
      <c r="A32" s="9" t="s">
        <v>25</v>
      </c>
      <c r="B32" s="23" t="s">
        <v>80</v>
      </c>
      <c r="C32" s="152"/>
      <c r="D32" s="155"/>
    </row>
    <row r="33" spans="1:4" ht="36" customHeight="1">
      <c r="A33" s="9" t="s">
        <v>26</v>
      </c>
      <c r="B33" s="22" t="s">
        <v>22</v>
      </c>
      <c r="C33" s="152"/>
      <c r="D33" s="155"/>
    </row>
    <row r="34" spans="1:4" ht="14.25" customHeight="1">
      <c r="A34" s="9" t="s">
        <v>27</v>
      </c>
      <c r="B34" s="22" t="s">
        <v>24</v>
      </c>
      <c r="C34" s="152"/>
      <c r="D34" s="155"/>
    </row>
    <row r="35" spans="1:4" ht="33.75" customHeight="1">
      <c r="A35" s="24" t="s">
        <v>28</v>
      </c>
      <c r="B35" s="22" t="s">
        <v>22</v>
      </c>
      <c r="C35" s="153"/>
      <c r="D35" s="156"/>
    </row>
    <row r="36" spans="1:4" ht="15.75" customHeight="1">
      <c r="A36" s="167" t="s">
        <v>65</v>
      </c>
      <c r="B36" s="167"/>
      <c r="C36" s="167"/>
      <c r="D36" s="167"/>
    </row>
    <row r="37" spans="1:4" ht="36.75" customHeight="1">
      <c r="A37" s="9" t="s">
        <v>66</v>
      </c>
      <c r="B37" s="22" t="s">
        <v>79</v>
      </c>
      <c r="C37" s="154">
        <v>1.19</v>
      </c>
      <c r="D37" s="152">
        <f>C37*12*B8</f>
        <v>43916.712</v>
      </c>
    </row>
    <row r="38" spans="1:4" ht="14.25" customHeight="1">
      <c r="A38" s="9" t="s">
        <v>67</v>
      </c>
      <c r="B38" s="22" t="s">
        <v>80</v>
      </c>
      <c r="C38" s="154"/>
      <c r="D38" s="168"/>
    </row>
    <row r="39" spans="1:4" ht="14.25" customHeight="1">
      <c r="A39" s="9" t="s">
        <v>68</v>
      </c>
      <c r="B39" s="22" t="s">
        <v>80</v>
      </c>
      <c r="C39" s="154"/>
      <c r="D39" s="168"/>
    </row>
    <row r="40" spans="1:4" ht="24" customHeight="1">
      <c r="A40" s="9" t="s">
        <v>69</v>
      </c>
      <c r="B40" s="22" t="s">
        <v>79</v>
      </c>
      <c r="C40" s="154"/>
      <c r="D40" s="168"/>
    </row>
    <row r="41" spans="1:4" ht="25.5" customHeight="1">
      <c r="A41" s="10" t="s">
        <v>70</v>
      </c>
      <c r="B41" s="22" t="s">
        <v>79</v>
      </c>
      <c r="C41" s="154"/>
      <c r="D41" s="168"/>
    </row>
    <row r="42" spans="1:4" ht="14.25" customHeight="1">
      <c r="A42" s="9" t="s">
        <v>71</v>
      </c>
      <c r="B42" s="22" t="s">
        <v>24</v>
      </c>
      <c r="C42" s="154"/>
      <c r="D42" s="162"/>
    </row>
    <row r="43" spans="1:4" ht="11.25" customHeight="1">
      <c r="A43" s="169" t="s">
        <v>29</v>
      </c>
      <c r="B43" s="169"/>
      <c r="C43" s="169"/>
      <c r="D43" s="169"/>
    </row>
    <row r="44" spans="1:4" ht="35.25" customHeight="1">
      <c r="A44" s="9" t="s">
        <v>30</v>
      </c>
      <c r="B44" s="22" t="s">
        <v>22</v>
      </c>
      <c r="C44" s="154">
        <v>0.81</v>
      </c>
      <c r="D44" s="152">
        <f>C44*12*B8</f>
        <v>29892.888000000003</v>
      </c>
    </row>
    <row r="45" spans="1:4" ht="38.25" customHeight="1">
      <c r="A45" s="9" t="s">
        <v>31</v>
      </c>
      <c r="B45" s="22" t="s">
        <v>22</v>
      </c>
      <c r="C45" s="154"/>
      <c r="D45" s="152"/>
    </row>
    <row r="46" spans="1:4" ht="15" customHeight="1">
      <c r="A46" s="10" t="s">
        <v>32</v>
      </c>
      <c r="B46" s="22" t="s">
        <v>22</v>
      </c>
      <c r="C46" s="154"/>
      <c r="D46" s="152"/>
    </row>
    <row r="47" spans="1:4" ht="12.75" customHeight="1">
      <c r="A47" s="167" t="s">
        <v>33</v>
      </c>
      <c r="B47" s="167"/>
      <c r="C47" s="167"/>
      <c r="D47" s="167"/>
    </row>
    <row r="48" spans="1:4" ht="29.25" customHeight="1">
      <c r="A48" s="9" t="s">
        <v>34</v>
      </c>
      <c r="B48" s="22" t="s">
        <v>77</v>
      </c>
      <c r="C48" s="154">
        <v>2.76</v>
      </c>
      <c r="D48" s="154">
        <f>C48*12*B8</f>
        <v>101857.24799999999</v>
      </c>
    </row>
    <row r="49" spans="1:4" ht="14.25" customHeight="1">
      <c r="A49" s="9" t="s">
        <v>35</v>
      </c>
      <c r="B49" s="22" t="s">
        <v>81</v>
      </c>
      <c r="C49" s="154"/>
      <c r="D49" s="154"/>
    </row>
    <row r="50" spans="1:4" ht="17.25" customHeight="1">
      <c r="A50" s="9" t="s">
        <v>36</v>
      </c>
      <c r="B50" s="22" t="s">
        <v>81</v>
      </c>
      <c r="C50" s="154"/>
      <c r="D50" s="154"/>
    </row>
    <row r="51" spans="1:4" ht="24.75" customHeight="1">
      <c r="A51" s="9" t="s">
        <v>37</v>
      </c>
      <c r="B51" s="22" t="s">
        <v>82</v>
      </c>
      <c r="C51" s="154"/>
      <c r="D51" s="154"/>
    </row>
    <row r="52" spans="1:4" ht="30" customHeight="1">
      <c r="A52" s="9" t="s">
        <v>38</v>
      </c>
      <c r="B52" s="22" t="s">
        <v>82</v>
      </c>
      <c r="C52" s="154"/>
      <c r="D52" s="154"/>
    </row>
    <row r="53" spans="1:4" ht="12.75" customHeight="1">
      <c r="A53" s="95" t="s">
        <v>95</v>
      </c>
      <c r="B53" s="6"/>
      <c r="C53" s="154"/>
      <c r="D53" s="154"/>
    </row>
    <row r="54" spans="1:4" ht="35.25" customHeight="1">
      <c r="A54" s="9" t="s">
        <v>40</v>
      </c>
      <c r="B54" s="22" t="s">
        <v>79</v>
      </c>
      <c r="C54" s="154"/>
      <c r="D54" s="154"/>
    </row>
    <row r="55" spans="1:4" ht="14.25" customHeight="1">
      <c r="A55" s="9" t="s">
        <v>41</v>
      </c>
      <c r="B55" s="22" t="s">
        <v>80</v>
      </c>
      <c r="C55" s="154"/>
      <c r="D55" s="154"/>
    </row>
    <row r="56" spans="1:4" ht="14.25" customHeight="1">
      <c r="A56" s="9" t="s">
        <v>42</v>
      </c>
      <c r="B56" s="23" t="s">
        <v>80</v>
      </c>
      <c r="C56" s="154"/>
      <c r="D56" s="154"/>
    </row>
    <row r="57" spans="1:4" ht="13.5" customHeight="1">
      <c r="A57" s="9" t="s">
        <v>43</v>
      </c>
      <c r="B57" s="23" t="s">
        <v>80</v>
      </c>
      <c r="C57" s="154"/>
      <c r="D57" s="154"/>
    </row>
    <row r="58" spans="1:4" ht="13.5" customHeight="1">
      <c r="A58" s="9" t="s">
        <v>44</v>
      </c>
      <c r="B58" s="21" t="s">
        <v>236</v>
      </c>
      <c r="C58" s="154"/>
      <c r="D58" s="154"/>
    </row>
    <row r="59" spans="1:4" ht="36.75" customHeight="1">
      <c r="A59" s="10" t="s">
        <v>45</v>
      </c>
      <c r="B59" s="22" t="s">
        <v>22</v>
      </c>
      <c r="C59" s="154"/>
      <c r="D59" s="154"/>
    </row>
    <row r="60" spans="1:4">
      <c r="A60" s="167" t="s">
        <v>46</v>
      </c>
      <c r="B60" s="167"/>
      <c r="C60" s="167"/>
      <c r="D60" s="167"/>
    </row>
    <row r="61" spans="1:4" ht="15.75" customHeight="1">
      <c r="A61" s="9" t="s">
        <v>47</v>
      </c>
      <c r="B61" s="22" t="s">
        <v>83</v>
      </c>
      <c r="C61" s="153">
        <v>1.7</v>
      </c>
      <c r="D61" s="166">
        <f>C61*B8*12+2283.83</f>
        <v>65021.990000000005</v>
      </c>
    </row>
    <row r="62" spans="1:4" ht="12.75" customHeight="1">
      <c r="A62" s="9" t="s">
        <v>48</v>
      </c>
      <c r="B62" s="22" t="s">
        <v>83</v>
      </c>
      <c r="C62" s="168"/>
      <c r="D62" s="155"/>
    </row>
    <row r="63" spans="1:4" ht="24" customHeight="1">
      <c r="A63" s="9" t="s">
        <v>49</v>
      </c>
      <c r="B63" s="22" t="s">
        <v>83</v>
      </c>
      <c r="C63" s="168"/>
      <c r="D63" s="155"/>
    </row>
    <row r="64" spans="1:4" ht="16.5" customHeight="1">
      <c r="A64" s="9" t="s">
        <v>50</v>
      </c>
      <c r="B64" s="22" t="s">
        <v>83</v>
      </c>
      <c r="C64" s="168"/>
      <c r="D64" s="155"/>
    </row>
    <row r="65" spans="1:4" ht="36.75" customHeight="1">
      <c r="A65" s="10" t="s">
        <v>51</v>
      </c>
      <c r="B65" s="22" t="s">
        <v>22</v>
      </c>
      <c r="C65" s="168"/>
      <c r="D65" s="155"/>
    </row>
    <row r="66" spans="1:4" ht="16.5" customHeight="1">
      <c r="A66" s="10" t="s">
        <v>52</v>
      </c>
      <c r="B66" s="23" t="s">
        <v>84</v>
      </c>
      <c r="C66" s="162"/>
      <c r="D66" s="156"/>
    </row>
    <row r="67" spans="1:4" ht="15" customHeight="1">
      <c r="A67" s="157" t="s">
        <v>55</v>
      </c>
      <c r="B67" s="158"/>
      <c r="C67" s="158"/>
      <c r="D67" s="159"/>
    </row>
    <row r="68" spans="1:4" ht="26.25" customHeight="1">
      <c r="A68" s="175" t="s">
        <v>96</v>
      </c>
      <c r="B68" s="177" t="s">
        <v>86</v>
      </c>
      <c r="C68" s="152">
        <v>2.41</v>
      </c>
      <c r="D68" s="154">
        <f>C68*B8*12</f>
        <v>88940.568000000014</v>
      </c>
    </row>
    <row r="69" spans="1:4" ht="3.75" customHeight="1">
      <c r="A69" s="176"/>
      <c r="B69" s="177"/>
      <c r="C69" s="152"/>
      <c r="D69" s="154"/>
    </row>
    <row r="70" spans="1:4" ht="15" customHeight="1">
      <c r="A70" s="157" t="s">
        <v>55</v>
      </c>
      <c r="B70" s="158"/>
      <c r="C70" s="158"/>
      <c r="D70" s="159"/>
    </row>
    <row r="71" spans="1:4" ht="16.5" customHeight="1">
      <c r="A71" s="6" t="s">
        <v>90</v>
      </c>
      <c r="B71" s="21" t="s">
        <v>87</v>
      </c>
      <c r="C71" s="170">
        <v>2.14</v>
      </c>
      <c r="D71" s="172">
        <f>6582.64+72507.06</f>
        <v>79089.7</v>
      </c>
    </row>
    <row r="72" spans="1:4">
      <c r="A72" s="6" t="s">
        <v>91</v>
      </c>
      <c r="B72" s="21" t="s">
        <v>87</v>
      </c>
      <c r="C72" s="171"/>
      <c r="D72" s="173"/>
    </row>
    <row r="73" spans="1:4" ht="15" customHeight="1">
      <c r="A73" s="6" t="s">
        <v>92</v>
      </c>
      <c r="B73" s="21" t="s">
        <v>87</v>
      </c>
      <c r="C73" s="169"/>
      <c r="D73" s="174"/>
    </row>
    <row r="74" spans="1:4" ht="38.25" customHeight="1">
      <c r="A74" s="6" t="s">
        <v>143</v>
      </c>
      <c r="B74" s="22" t="s">
        <v>22</v>
      </c>
      <c r="C74" s="93">
        <v>4.3499999999999996</v>
      </c>
      <c r="D74" s="93">
        <f>C74*12*B8</f>
        <v>160535.88</v>
      </c>
    </row>
    <row r="75" spans="1:4">
      <c r="A75" s="95" t="s">
        <v>56</v>
      </c>
      <c r="B75" s="23"/>
      <c r="C75" s="28">
        <f>C74+C71+C68+C61+C48+C44+C37+C30+C26+C19+C16+C13</f>
        <v>21.62</v>
      </c>
      <c r="D75" s="150">
        <f>D74+D71+D68+D61+D48+D44+D37+D30+D26+D19+D16+D14+D13</f>
        <v>800279.0340000001</v>
      </c>
    </row>
    <row r="76" spans="1:4">
      <c r="C76" t="s">
        <v>201</v>
      </c>
    </row>
    <row r="77" spans="1:4">
      <c r="D77" s="40"/>
    </row>
    <row r="78" spans="1:4">
      <c r="D78" s="40"/>
    </row>
    <row r="79" spans="1:4">
      <c r="D79" s="40"/>
    </row>
    <row r="80" spans="1:4">
      <c r="D80" s="40"/>
    </row>
    <row r="82" spans="4:4">
      <c r="D82" s="40"/>
    </row>
  </sheetData>
  <mergeCells count="34">
    <mergeCell ref="A43:D43"/>
    <mergeCell ref="C44:C46"/>
    <mergeCell ref="D44:D46"/>
    <mergeCell ref="A47:D47"/>
    <mergeCell ref="C37:C42"/>
    <mergeCell ref="D37:D42"/>
    <mergeCell ref="A36:D36"/>
    <mergeCell ref="A12:D12"/>
    <mergeCell ref="A17:D17"/>
    <mergeCell ref="C19:C24"/>
    <mergeCell ref="D19:D24"/>
    <mergeCell ref="A25:D25"/>
    <mergeCell ref="B13:B14"/>
    <mergeCell ref="C13:C14"/>
    <mergeCell ref="D13:D14"/>
    <mergeCell ref="C26:C27"/>
    <mergeCell ref="D26:D27"/>
    <mergeCell ref="A28:D28"/>
    <mergeCell ref="A29:D29"/>
    <mergeCell ref="C30:C35"/>
    <mergeCell ref="D30:D35"/>
    <mergeCell ref="C48:C59"/>
    <mergeCell ref="D48:D59"/>
    <mergeCell ref="A70:D70"/>
    <mergeCell ref="C71:C73"/>
    <mergeCell ref="D71:D73"/>
    <mergeCell ref="A60:D60"/>
    <mergeCell ref="A68:A69"/>
    <mergeCell ref="B68:B69"/>
    <mergeCell ref="C68:C69"/>
    <mergeCell ref="D68:D69"/>
    <mergeCell ref="A67:D67"/>
    <mergeCell ref="C61:C66"/>
    <mergeCell ref="D61:D6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76"/>
  <sheetViews>
    <sheetView topLeftCell="A58" workbookViewId="0">
      <selection activeCell="B89" sqref="B89"/>
    </sheetView>
  </sheetViews>
  <sheetFormatPr defaultRowHeight="15"/>
  <cols>
    <col min="1" max="1" width="93.5703125" customWidth="1"/>
    <col min="2" max="2" width="13" customWidth="1"/>
    <col min="3" max="3" width="11.42578125" customWidth="1"/>
    <col min="4" max="4" width="12" customWidth="1"/>
  </cols>
  <sheetData>
    <row r="1" spans="1:5">
      <c r="A1" s="1" t="s">
        <v>0</v>
      </c>
      <c r="B1" s="2"/>
      <c r="C1" s="2"/>
      <c r="D1" s="2" t="s">
        <v>64</v>
      </c>
    </row>
    <row r="2" spans="1:5">
      <c r="A2" s="1" t="s">
        <v>232</v>
      </c>
      <c r="B2" s="2"/>
      <c r="C2" s="2"/>
      <c r="D2" s="2"/>
    </row>
    <row r="3" spans="1:5">
      <c r="A3" s="1" t="s">
        <v>340</v>
      </c>
      <c r="B3" s="2"/>
      <c r="C3" s="2"/>
      <c r="D3" s="2"/>
    </row>
    <row r="4" spans="1:5">
      <c r="A4" s="25" t="s">
        <v>58</v>
      </c>
      <c r="B4" s="2">
        <v>1967</v>
      </c>
      <c r="C4" s="2"/>
      <c r="D4" s="2"/>
    </row>
    <row r="5" spans="1:5">
      <c r="A5" s="25" t="s">
        <v>59</v>
      </c>
      <c r="B5" s="2">
        <v>5</v>
      </c>
      <c r="C5" s="2"/>
      <c r="D5" s="2"/>
    </row>
    <row r="6" spans="1:5">
      <c r="A6" s="25" t="s">
        <v>60</v>
      </c>
      <c r="B6" s="2">
        <v>4</v>
      </c>
      <c r="C6" s="2"/>
      <c r="D6" s="2"/>
    </row>
    <row r="7" spans="1:5">
      <c r="A7" s="25" t="s">
        <v>61</v>
      </c>
      <c r="B7" s="2">
        <v>76</v>
      </c>
      <c r="C7" s="2"/>
      <c r="D7" s="2"/>
    </row>
    <row r="8" spans="1:5">
      <c r="A8" s="25" t="s">
        <v>72</v>
      </c>
      <c r="B8" s="2">
        <v>3022.8</v>
      </c>
      <c r="C8" s="2"/>
      <c r="D8" s="2"/>
    </row>
    <row r="9" spans="1:5">
      <c r="A9" s="25" t="s">
        <v>62</v>
      </c>
      <c r="B9" s="2">
        <v>249.5</v>
      </c>
      <c r="C9" s="2"/>
      <c r="D9" s="2"/>
      <c r="E9">
        <f>B8+B10</f>
        <v>3238.1000000000004</v>
      </c>
    </row>
    <row r="10" spans="1:5">
      <c r="A10" s="25" t="s">
        <v>392</v>
      </c>
      <c r="B10" s="2">
        <v>215.3</v>
      </c>
      <c r="C10" s="2"/>
      <c r="D10" s="2"/>
    </row>
    <row r="11" spans="1:5">
      <c r="A11" s="25" t="s">
        <v>73</v>
      </c>
      <c r="B11" s="46">
        <v>528.6</v>
      </c>
      <c r="C11" s="2"/>
      <c r="D11" s="2"/>
    </row>
    <row r="12" spans="1:5" ht="36.75">
      <c r="A12" s="94" t="s">
        <v>1</v>
      </c>
      <c r="B12" s="94" t="s">
        <v>2</v>
      </c>
      <c r="C12" s="94" t="s">
        <v>3</v>
      </c>
      <c r="D12" s="94" t="s">
        <v>4</v>
      </c>
    </row>
    <row r="13" spans="1:5">
      <c r="A13" s="157" t="s">
        <v>5</v>
      </c>
      <c r="B13" s="158"/>
      <c r="C13" s="158"/>
      <c r="D13" s="159"/>
    </row>
    <row r="14" spans="1:5" ht="88.5" customHeight="1">
      <c r="A14" s="104" t="s">
        <v>6</v>
      </c>
      <c r="B14" s="160" t="s">
        <v>8</v>
      </c>
      <c r="C14" s="153">
        <v>1.04</v>
      </c>
      <c r="D14" s="163">
        <f>C14*12*E9</f>
        <v>40411.488000000005</v>
      </c>
    </row>
    <row r="15" spans="1:5" ht="75.75" customHeight="1">
      <c r="A15" s="103" t="s">
        <v>89</v>
      </c>
      <c r="B15" s="161"/>
      <c r="C15" s="162"/>
      <c r="D15" s="164"/>
    </row>
    <row r="16" spans="1:5">
      <c r="A16" s="6" t="s">
        <v>9</v>
      </c>
      <c r="B16" s="94"/>
      <c r="C16" s="26"/>
      <c r="D16" s="30"/>
    </row>
    <row r="17" spans="1:4">
      <c r="A17" s="6" t="s">
        <v>342</v>
      </c>
      <c r="B17" s="94" t="s">
        <v>154</v>
      </c>
      <c r="C17" s="44">
        <v>0.03</v>
      </c>
      <c r="D17" s="30">
        <f>C17*12*E9</f>
        <v>1165.7160000000001</v>
      </c>
    </row>
    <row r="18" spans="1:4">
      <c r="A18" s="6" t="s">
        <v>341</v>
      </c>
      <c r="B18" s="94" t="s">
        <v>105</v>
      </c>
      <c r="C18" s="44">
        <v>0.03</v>
      </c>
      <c r="D18" s="30">
        <f>C18*12*E9</f>
        <v>1165.7160000000001</v>
      </c>
    </row>
    <row r="19" spans="1:4">
      <c r="A19" s="165" t="s">
        <v>10</v>
      </c>
      <c r="B19" s="165"/>
      <c r="C19" s="165"/>
      <c r="D19" s="165"/>
    </row>
    <row r="20" spans="1:4" ht="13.5" customHeight="1">
      <c r="A20" s="39" t="s">
        <v>97</v>
      </c>
      <c r="B20" s="95"/>
      <c r="C20" s="95"/>
      <c r="D20" s="95"/>
    </row>
    <row r="21" spans="1:4" ht="13.5" customHeight="1">
      <c r="A21" s="6" t="s">
        <v>11</v>
      </c>
      <c r="B21" s="94" t="s">
        <v>75</v>
      </c>
      <c r="C21" s="152">
        <v>2.16</v>
      </c>
      <c r="D21" s="166">
        <f>C21*E9*12</f>
        <v>83931.552000000011</v>
      </c>
    </row>
    <row r="22" spans="1:4" ht="12.75" customHeight="1">
      <c r="A22" s="6" t="s">
        <v>12</v>
      </c>
      <c r="B22" s="94" t="s">
        <v>75</v>
      </c>
      <c r="C22" s="152"/>
      <c r="D22" s="155"/>
    </row>
    <row r="23" spans="1:4" ht="14.25" customHeight="1">
      <c r="A23" s="6" t="s">
        <v>13</v>
      </c>
      <c r="B23" s="94" t="s">
        <v>75</v>
      </c>
      <c r="C23" s="152"/>
      <c r="D23" s="155"/>
    </row>
    <row r="24" spans="1:4" ht="13.5" customHeight="1">
      <c r="A24" s="6" t="s">
        <v>14</v>
      </c>
      <c r="B24" s="94" t="s">
        <v>76</v>
      </c>
      <c r="C24" s="152"/>
      <c r="D24" s="155"/>
    </row>
    <row r="25" spans="1:4" ht="12.75" customHeight="1">
      <c r="A25" s="39" t="s">
        <v>93</v>
      </c>
      <c r="B25" s="94"/>
      <c r="C25" s="152"/>
      <c r="D25" s="155"/>
    </row>
    <row r="26" spans="1:4" ht="30" customHeight="1">
      <c r="A26" s="6" t="s">
        <v>15</v>
      </c>
      <c r="B26" s="94" t="s">
        <v>94</v>
      </c>
      <c r="C26" s="152"/>
      <c r="D26" s="156"/>
    </row>
    <row r="27" spans="1:4" ht="12.75" customHeight="1">
      <c r="A27" s="157" t="s">
        <v>16</v>
      </c>
      <c r="B27" s="158"/>
      <c r="C27" s="158"/>
      <c r="D27" s="159"/>
    </row>
    <row r="28" spans="1:4" ht="12" customHeight="1">
      <c r="A28" s="7" t="s">
        <v>17</v>
      </c>
      <c r="B28" s="21" t="s">
        <v>78</v>
      </c>
      <c r="C28" s="152">
        <v>0.2</v>
      </c>
      <c r="D28" s="167">
        <f>C28*E9*12</f>
        <v>7771.4400000000014</v>
      </c>
    </row>
    <row r="29" spans="1:4" ht="12" customHeight="1">
      <c r="A29" s="7" t="s">
        <v>18</v>
      </c>
      <c r="B29" s="21" t="s">
        <v>77</v>
      </c>
      <c r="C29" s="152"/>
      <c r="D29" s="167"/>
    </row>
    <row r="30" spans="1:4" ht="13.5" customHeight="1">
      <c r="A30" s="157" t="s">
        <v>19</v>
      </c>
      <c r="B30" s="158"/>
      <c r="C30" s="158"/>
      <c r="D30" s="159"/>
    </row>
    <row r="31" spans="1:4">
      <c r="A31" s="167" t="s">
        <v>20</v>
      </c>
      <c r="B31" s="167"/>
      <c r="C31" s="167"/>
      <c r="D31" s="167"/>
    </row>
    <row r="32" spans="1:4" ht="37.5" customHeight="1">
      <c r="A32" s="8" t="s">
        <v>21</v>
      </c>
      <c r="B32" s="22" t="s">
        <v>79</v>
      </c>
      <c r="C32" s="152">
        <v>0.91</v>
      </c>
      <c r="D32" s="154">
        <f>C32*E9*12</f>
        <v>35360.052000000003</v>
      </c>
    </row>
    <row r="33" spans="1:4" ht="15" customHeight="1">
      <c r="A33" s="9" t="s">
        <v>23</v>
      </c>
      <c r="B33" s="23" t="s">
        <v>80</v>
      </c>
      <c r="C33" s="152"/>
      <c r="D33" s="155"/>
    </row>
    <row r="34" spans="1:4" ht="13.5" customHeight="1">
      <c r="A34" s="9" t="s">
        <v>25</v>
      </c>
      <c r="B34" s="23" t="s">
        <v>80</v>
      </c>
      <c r="C34" s="152"/>
      <c r="D34" s="155"/>
    </row>
    <row r="35" spans="1:4" ht="36" customHeight="1">
      <c r="A35" s="9" t="s">
        <v>26</v>
      </c>
      <c r="B35" s="22" t="s">
        <v>22</v>
      </c>
      <c r="C35" s="152"/>
      <c r="D35" s="155"/>
    </row>
    <row r="36" spans="1:4" ht="14.25" customHeight="1">
      <c r="A36" s="9" t="s">
        <v>27</v>
      </c>
      <c r="B36" s="22" t="s">
        <v>24</v>
      </c>
      <c r="C36" s="152"/>
      <c r="D36" s="155"/>
    </row>
    <row r="37" spans="1:4" ht="33.75" customHeight="1">
      <c r="A37" s="24" t="s">
        <v>28</v>
      </c>
      <c r="B37" s="22" t="s">
        <v>22</v>
      </c>
      <c r="C37" s="152"/>
      <c r="D37" s="156"/>
    </row>
    <row r="38" spans="1:4" ht="11.25" customHeight="1">
      <c r="A38" s="169" t="s">
        <v>29</v>
      </c>
      <c r="B38" s="169"/>
      <c r="C38" s="169"/>
      <c r="D38" s="169"/>
    </row>
    <row r="39" spans="1:4" ht="35.25" customHeight="1">
      <c r="A39" s="9" t="s">
        <v>30</v>
      </c>
      <c r="B39" s="22" t="s">
        <v>22</v>
      </c>
      <c r="C39" s="154">
        <v>1.1499999999999999</v>
      </c>
      <c r="D39" s="152">
        <f>C39*12*E9</f>
        <v>44685.78</v>
      </c>
    </row>
    <row r="40" spans="1:4" ht="38.25" customHeight="1">
      <c r="A40" s="9" t="s">
        <v>31</v>
      </c>
      <c r="B40" s="22" t="s">
        <v>22</v>
      </c>
      <c r="C40" s="154"/>
      <c r="D40" s="152"/>
    </row>
    <row r="41" spans="1:4" ht="15" customHeight="1">
      <c r="A41" s="10" t="s">
        <v>32</v>
      </c>
      <c r="B41" s="22" t="s">
        <v>22</v>
      </c>
      <c r="C41" s="154"/>
      <c r="D41" s="152"/>
    </row>
    <row r="42" spans="1:4" ht="12.75" customHeight="1">
      <c r="A42" s="167" t="s">
        <v>33</v>
      </c>
      <c r="B42" s="167"/>
      <c r="C42" s="167"/>
      <c r="D42" s="167"/>
    </row>
    <row r="43" spans="1:4" ht="29.25" customHeight="1">
      <c r="A43" s="9" t="s">
        <v>34</v>
      </c>
      <c r="B43" s="22" t="s">
        <v>77</v>
      </c>
      <c r="C43" s="154">
        <v>3.35</v>
      </c>
      <c r="D43" s="154">
        <f>C43*12*E9</f>
        <v>130171.62000000002</v>
      </c>
    </row>
    <row r="44" spans="1:4" ht="14.25" customHeight="1">
      <c r="A44" s="9" t="s">
        <v>35</v>
      </c>
      <c r="B44" s="22" t="s">
        <v>81</v>
      </c>
      <c r="C44" s="154"/>
      <c r="D44" s="154"/>
    </row>
    <row r="45" spans="1:4" ht="17.25" customHeight="1">
      <c r="A45" s="9" t="s">
        <v>36</v>
      </c>
      <c r="B45" s="22" t="s">
        <v>81</v>
      </c>
      <c r="C45" s="154"/>
      <c r="D45" s="154"/>
    </row>
    <row r="46" spans="1:4" ht="24.75" customHeight="1">
      <c r="A46" s="9" t="s">
        <v>37</v>
      </c>
      <c r="B46" s="22" t="s">
        <v>82</v>
      </c>
      <c r="C46" s="154"/>
      <c r="D46" s="154"/>
    </row>
    <row r="47" spans="1:4" ht="30" customHeight="1">
      <c r="A47" s="9" t="s">
        <v>38</v>
      </c>
      <c r="B47" s="22" t="s">
        <v>82</v>
      </c>
      <c r="C47" s="154"/>
      <c r="D47" s="154"/>
    </row>
    <row r="48" spans="1:4" ht="12.75" customHeight="1">
      <c r="A48" s="95" t="s">
        <v>95</v>
      </c>
      <c r="B48" s="6"/>
      <c r="C48" s="154"/>
      <c r="D48" s="154"/>
    </row>
    <row r="49" spans="1:4" ht="35.25" customHeight="1">
      <c r="A49" s="9" t="s">
        <v>40</v>
      </c>
      <c r="B49" s="22" t="s">
        <v>79</v>
      </c>
      <c r="C49" s="154"/>
      <c r="D49" s="154"/>
    </row>
    <row r="50" spans="1:4" ht="14.25" customHeight="1">
      <c r="A50" s="9" t="s">
        <v>41</v>
      </c>
      <c r="B50" s="22" t="s">
        <v>80</v>
      </c>
      <c r="C50" s="154"/>
      <c r="D50" s="154"/>
    </row>
    <row r="51" spans="1:4" ht="14.25" customHeight="1">
      <c r="A51" s="9" t="s">
        <v>42</v>
      </c>
      <c r="B51" s="23" t="s">
        <v>80</v>
      </c>
      <c r="C51" s="154"/>
      <c r="D51" s="154"/>
    </row>
    <row r="52" spans="1:4" ht="13.5" customHeight="1">
      <c r="A52" s="9" t="s">
        <v>43</v>
      </c>
      <c r="B52" s="23" t="s">
        <v>80</v>
      </c>
      <c r="C52" s="154"/>
      <c r="D52" s="154"/>
    </row>
    <row r="53" spans="1:4" ht="13.5" customHeight="1">
      <c r="A53" s="9" t="s">
        <v>44</v>
      </c>
      <c r="B53" s="21" t="s">
        <v>236</v>
      </c>
      <c r="C53" s="154"/>
      <c r="D53" s="154"/>
    </row>
    <row r="54" spans="1:4" ht="36.75" customHeight="1">
      <c r="A54" s="10" t="s">
        <v>45</v>
      </c>
      <c r="B54" s="22" t="s">
        <v>22</v>
      </c>
      <c r="C54" s="154"/>
      <c r="D54" s="154"/>
    </row>
    <row r="55" spans="1:4">
      <c r="A55" s="167" t="s">
        <v>46</v>
      </c>
      <c r="B55" s="167"/>
      <c r="C55" s="167"/>
      <c r="D55" s="167"/>
    </row>
    <row r="56" spans="1:4" ht="15.75" customHeight="1">
      <c r="A56" s="9" t="s">
        <v>47</v>
      </c>
      <c r="B56" s="22" t="s">
        <v>83</v>
      </c>
      <c r="C56" s="153">
        <v>1.72</v>
      </c>
      <c r="D56" s="166">
        <f>C56*E9*12-1883.94</f>
        <v>64950.444000000003</v>
      </c>
    </row>
    <row r="57" spans="1:4" ht="12.75" customHeight="1">
      <c r="A57" s="9" t="s">
        <v>48</v>
      </c>
      <c r="B57" s="22" t="s">
        <v>83</v>
      </c>
      <c r="C57" s="168"/>
      <c r="D57" s="155"/>
    </row>
    <row r="58" spans="1:4" ht="24" customHeight="1">
      <c r="A58" s="9" t="s">
        <v>49</v>
      </c>
      <c r="B58" s="22" t="s">
        <v>83</v>
      </c>
      <c r="C58" s="168"/>
      <c r="D58" s="155"/>
    </row>
    <row r="59" spans="1:4" ht="16.5" customHeight="1">
      <c r="A59" s="9" t="s">
        <v>50</v>
      </c>
      <c r="B59" s="22" t="s">
        <v>83</v>
      </c>
      <c r="C59" s="168"/>
      <c r="D59" s="155"/>
    </row>
    <row r="60" spans="1:4" ht="36.75" customHeight="1">
      <c r="A60" s="10" t="s">
        <v>51</v>
      </c>
      <c r="B60" s="22" t="s">
        <v>22</v>
      </c>
      <c r="C60" s="168"/>
      <c r="D60" s="155"/>
    </row>
    <row r="61" spans="1:4" ht="16.5" customHeight="1">
      <c r="A61" s="10" t="s">
        <v>52</v>
      </c>
      <c r="B61" s="23" t="s">
        <v>84</v>
      </c>
      <c r="C61" s="162"/>
      <c r="D61" s="156"/>
    </row>
    <row r="62" spans="1:4">
      <c r="A62" s="157" t="s">
        <v>85</v>
      </c>
      <c r="B62" s="158"/>
      <c r="C62" s="158"/>
      <c r="D62" s="159"/>
    </row>
    <row r="63" spans="1:4" ht="26.25" customHeight="1">
      <c r="A63" s="175" t="s">
        <v>96</v>
      </c>
      <c r="B63" s="177" t="s">
        <v>86</v>
      </c>
      <c r="C63" s="152">
        <v>2.41</v>
      </c>
      <c r="D63" s="154">
        <f>C63*E9*12</f>
        <v>93645.852000000014</v>
      </c>
    </row>
    <row r="64" spans="1:4" ht="3.75" customHeight="1">
      <c r="A64" s="176"/>
      <c r="B64" s="177"/>
      <c r="C64" s="152"/>
      <c r="D64" s="154"/>
    </row>
    <row r="65" spans="1:4" ht="15" customHeight="1">
      <c r="A65" s="157" t="s">
        <v>55</v>
      </c>
      <c r="B65" s="158"/>
      <c r="C65" s="158"/>
      <c r="D65" s="159"/>
    </row>
    <row r="66" spans="1:4" ht="16.5" customHeight="1">
      <c r="A66" s="6" t="s">
        <v>90</v>
      </c>
      <c r="B66" s="21" t="s">
        <v>87</v>
      </c>
      <c r="C66" s="170">
        <v>2.14</v>
      </c>
      <c r="D66" s="172">
        <f>C66*12*E9</f>
        <v>83154.40800000001</v>
      </c>
    </row>
    <row r="67" spans="1:4">
      <c r="A67" s="6" t="s">
        <v>91</v>
      </c>
      <c r="B67" s="21" t="s">
        <v>87</v>
      </c>
      <c r="C67" s="171"/>
      <c r="D67" s="173"/>
    </row>
    <row r="68" spans="1:4" ht="15" customHeight="1">
      <c r="A68" s="6" t="s">
        <v>92</v>
      </c>
      <c r="B68" s="21" t="s">
        <v>87</v>
      </c>
      <c r="C68" s="169"/>
      <c r="D68" s="174"/>
    </row>
    <row r="69" spans="1:4" ht="38.25" customHeight="1">
      <c r="A69" s="6" t="s">
        <v>143</v>
      </c>
      <c r="B69" s="22" t="s">
        <v>22</v>
      </c>
      <c r="C69" s="93">
        <v>4.22</v>
      </c>
      <c r="D69" s="93">
        <f>C69*12*E9</f>
        <v>163977.38400000002</v>
      </c>
    </row>
    <row r="70" spans="1:4" ht="18" customHeight="1">
      <c r="A70" s="6" t="s">
        <v>235</v>
      </c>
      <c r="B70" s="22"/>
      <c r="C70" s="93"/>
      <c r="D70" s="93">
        <f>-13*12*43.1</f>
        <v>-6723.6</v>
      </c>
    </row>
    <row r="71" spans="1:4">
      <c r="A71" s="95" t="s">
        <v>56</v>
      </c>
      <c r="B71" s="23"/>
      <c r="C71" s="28">
        <f>C69+C66+C63+C56+C43+C39+C32+C28+C21+C18+C17+C14</f>
        <v>19.360000000000003</v>
      </c>
      <c r="D71" s="28">
        <f>D69+D66+D63+D56+D43+D39+D32+D28+D21+D18+D17+D14+D70</f>
        <v>743667.85200000019</v>
      </c>
    </row>
    <row r="72" spans="1:4">
      <c r="C72" t="s">
        <v>201</v>
      </c>
    </row>
    <row r="73" spans="1:4">
      <c r="D73" s="40"/>
    </row>
    <row r="74" spans="1:4">
      <c r="D74" s="40"/>
    </row>
    <row r="75" spans="1:4">
      <c r="D75" s="40"/>
    </row>
    <row r="76" spans="1:4">
      <c r="D76" s="40"/>
    </row>
  </sheetData>
  <mergeCells count="31">
    <mergeCell ref="C56:C61"/>
    <mergeCell ref="D56:D61"/>
    <mergeCell ref="A13:D13"/>
    <mergeCell ref="C21:C26"/>
    <mergeCell ref="D21:D26"/>
    <mergeCell ref="A27:D27"/>
    <mergeCell ref="C28:C29"/>
    <mergeCell ref="D28:D29"/>
    <mergeCell ref="A30:D30"/>
    <mergeCell ref="A31:D31"/>
    <mergeCell ref="C32:C37"/>
    <mergeCell ref="D32:D37"/>
    <mergeCell ref="B14:B15"/>
    <mergeCell ref="C14:C15"/>
    <mergeCell ref="D14:D15"/>
    <mergeCell ref="A62:D62"/>
    <mergeCell ref="A65:D65"/>
    <mergeCell ref="C66:C68"/>
    <mergeCell ref="D66:D68"/>
    <mergeCell ref="A19:D19"/>
    <mergeCell ref="A55:D55"/>
    <mergeCell ref="A63:A64"/>
    <mergeCell ref="B63:B64"/>
    <mergeCell ref="C63:C64"/>
    <mergeCell ref="D63:D64"/>
    <mergeCell ref="A38:D38"/>
    <mergeCell ref="C39:C41"/>
    <mergeCell ref="D39:D41"/>
    <mergeCell ref="A42:D42"/>
    <mergeCell ref="C43:C54"/>
    <mergeCell ref="D43:D5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82"/>
  <sheetViews>
    <sheetView topLeftCell="A46" workbookViewId="0">
      <selection activeCell="D77" sqref="D77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  <col min="5" max="5" width="10.5703125" bestFit="1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230</v>
      </c>
      <c r="B2" s="2"/>
      <c r="C2" s="2"/>
      <c r="D2" s="2"/>
    </row>
    <row r="3" spans="1:4">
      <c r="A3" s="1" t="s">
        <v>293</v>
      </c>
      <c r="B3" s="2"/>
      <c r="C3" s="2"/>
      <c r="D3" s="2"/>
    </row>
    <row r="4" spans="1:4">
      <c r="A4" s="25" t="s">
        <v>58</v>
      </c>
      <c r="B4" s="2">
        <v>1988</v>
      </c>
      <c r="C4" s="2"/>
      <c r="D4" s="2"/>
    </row>
    <row r="5" spans="1:4">
      <c r="A5" s="25" t="s">
        <v>59</v>
      </c>
      <c r="B5" s="2">
        <v>5</v>
      </c>
      <c r="C5" s="2"/>
      <c r="D5" s="2"/>
    </row>
    <row r="6" spans="1:4">
      <c r="A6" s="25" t="s">
        <v>60</v>
      </c>
      <c r="B6" s="2">
        <v>8</v>
      </c>
      <c r="C6" s="2"/>
      <c r="D6" s="2"/>
    </row>
    <row r="7" spans="1:4">
      <c r="A7" s="25" t="s">
        <v>61</v>
      </c>
      <c r="B7" s="2">
        <v>100</v>
      </c>
      <c r="C7" s="2"/>
      <c r="D7" s="2"/>
    </row>
    <row r="8" spans="1:4">
      <c r="A8" s="25" t="s">
        <v>72</v>
      </c>
      <c r="B8" s="2">
        <v>5466.2</v>
      </c>
      <c r="C8" s="2"/>
      <c r="D8" s="2"/>
    </row>
    <row r="9" spans="1:4">
      <c r="A9" s="25" t="s">
        <v>62</v>
      </c>
      <c r="B9" s="2">
        <v>599.6</v>
      </c>
      <c r="C9" s="2"/>
      <c r="D9" s="2"/>
    </row>
    <row r="10" spans="1:4">
      <c r="A10" s="25" t="s">
        <v>73</v>
      </c>
      <c r="B10" s="46">
        <v>1149.7</v>
      </c>
      <c r="C10" s="2"/>
      <c r="D10" s="2"/>
    </row>
    <row r="11" spans="1:4" ht="36.75">
      <c r="A11" s="94" t="s">
        <v>1</v>
      </c>
      <c r="B11" s="94" t="s">
        <v>2</v>
      </c>
      <c r="C11" s="94" t="s">
        <v>3</v>
      </c>
      <c r="D11" s="94" t="s">
        <v>4</v>
      </c>
    </row>
    <row r="12" spans="1:4">
      <c r="A12" s="178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1.04</v>
      </c>
      <c r="D13" s="163">
        <f>C13*12*B8</f>
        <v>68218.176000000007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103" t="s">
        <v>9</v>
      </c>
      <c r="B15" s="94"/>
      <c r="C15" s="26"/>
      <c r="D15" s="30"/>
    </row>
    <row r="16" spans="1:4">
      <c r="A16" s="6" t="s">
        <v>233</v>
      </c>
      <c r="B16" s="122" t="s">
        <v>105</v>
      </c>
      <c r="C16" s="44">
        <f>D16/12/B8</f>
        <v>0.11662580952032491</v>
      </c>
      <c r="D16" s="30">
        <v>7650</v>
      </c>
    </row>
    <row r="17" spans="1:4">
      <c r="A17" s="6" t="s">
        <v>294</v>
      </c>
      <c r="B17" s="122" t="s">
        <v>105</v>
      </c>
      <c r="C17" s="44">
        <f>D17/12/B8</f>
        <v>2.8295098362055297E-2</v>
      </c>
      <c r="D17" s="30">
        <v>1856</v>
      </c>
    </row>
    <row r="18" spans="1:4">
      <c r="A18" s="6" t="s">
        <v>295</v>
      </c>
      <c r="B18" s="94" t="s">
        <v>154</v>
      </c>
      <c r="C18" s="44">
        <f>D18/12/B8</f>
        <v>0.11891259009915481</v>
      </c>
      <c r="D18" s="30">
        <v>7800</v>
      </c>
    </row>
    <row r="19" spans="1:4">
      <c r="A19" s="165" t="s">
        <v>10</v>
      </c>
      <c r="B19" s="165"/>
      <c r="C19" s="165"/>
      <c r="D19" s="165"/>
    </row>
    <row r="20" spans="1:4" ht="13.5" customHeight="1">
      <c r="A20" s="39" t="s">
        <v>97</v>
      </c>
      <c r="B20" s="95"/>
      <c r="C20" s="95"/>
      <c r="D20" s="95"/>
    </row>
    <row r="21" spans="1:4" ht="13.5" customHeight="1">
      <c r="A21" s="6" t="s">
        <v>11</v>
      </c>
      <c r="B21" s="94" t="s">
        <v>75</v>
      </c>
      <c r="C21" s="152">
        <v>2.16</v>
      </c>
      <c r="D21" s="166">
        <f>C21*B8*12</f>
        <v>141683.90400000001</v>
      </c>
    </row>
    <row r="22" spans="1:4" ht="12.75" customHeight="1">
      <c r="A22" s="6" t="s">
        <v>12</v>
      </c>
      <c r="B22" s="94" t="s">
        <v>75</v>
      </c>
      <c r="C22" s="152"/>
      <c r="D22" s="155"/>
    </row>
    <row r="23" spans="1:4" ht="14.25" customHeight="1">
      <c r="A23" s="6" t="s">
        <v>13</v>
      </c>
      <c r="B23" s="94" t="s">
        <v>75</v>
      </c>
      <c r="C23" s="152"/>
      <c r="D23" s="155"/>
    </row>
    <row r="24" spans="1:4" ht="13.5" customHeight="1">
      <c r="A24" s="6" t="s">
        <v>14</v>
      </c>
      <c r="B24" s="94" t="s">
        <v>76</v>
      </c>
      <c r="C24" s="152"/>
      <c r="D24" s="155"/>
    </row>
    <row r="25" spans="1:4" ht="12.75" customHeight="1">
      <c r="A25" s="39" t="s">
        <v>93</v>
      </c>
      <c r="B25" s="94"/>
      <c r="C25" s="152"/>
      <c r="D25" s="155"/>
    </row>
    <row r="26" spans="1:4" ht="30" customHeight="1">
      <c r="A26" s="6" t="s">
        <v>15</v>
      </c>
      <c r="B26" s="94" t="s">
        <v>94</v>
      </c>
      <c r="C26" s="152"/>
      <c r="D26" s="156"/>
    </row>
    <row r="27" spans="1:4" ht="12.75" customHeight="1">
      <c r="A27" s="157" t="s">
        <v>16</v>
      </c>
      <c r="B27" s="158"/>
      <c r="C27" s="158"/>
      <c r="D27" s="159"/>
    </row>
    <row r="28" spans="1:4" ht="12" customHeight="1">
      <c r="A28" s="7" t="s">
        <v>17</v>
      </c>
      <c r="B28" s="21" t="s">
        <v>78</v>
      </c>
      <c r="C28" s="152">
        <v>0.2</v>
      </c>
      <c r="D28" s="167">
        <f>C28*B8*12</f>
        <v>13118.880000000001</v>
      </c>
    </row>
    <row r="29" spans="1:4" ht="12" customHeight="1">
      <c r="A29" s="7" t="s">
        <v>18</v>
      </c>
      <c r="B29" s="21" t="s">
        <v>77</v>
      </c>
      <c r="C29" s="152"/>
      <c r="D29" s="167"/>
    </row>
    <row r="30" spans="1:4" ht="13.5" customHeight="1">
      <c r="A30" s="157" t="s">
        <v>19</v>
      </c>
      <c r="B30" s="158"/>
      <c r="C30" s="158"/>
      <c r="D30" s="159"/>
    </row>
    <row r="31" spans="1:4">
      <c r="A31" s="167" t="s">
        <v>20</v>
      </c>
      <c r="B31" s="167"/>
      <c r="C31" s="167"/>
      <c r="D31" s="167"/>
    </row>
    <row r="32" spans="1:4" ht="37.5" customHeight="1">
      <c r="A32" s="8" t="s">
        <v>21</v>
      </c>
      <c r="B32" s="22" t="s">
        <v>79</v>
      </c>
      <c r="C32" s="152">
        <v>1.52</v>
      </c>
      <c r="D32" s="154">
        <f>C32*12*B8</f>
        <v>99703.488000000012</v>
      </c>
    </row>
    <row r="33" spans="1:4" ht="15" customHeight="1">
      <c r="A33" s="9" t="s">
        <v>23</v>
      </c>
      <c r="B33" s="23" t="s">
        <v>80</v>
      </c>
      <c r="C33" s="152"/>
      <c r="D33" s="155"/>
    </row>
    <row r="34" spans="1:4" ht="13.5" customHeight="1">
      <c r="A34" s="9" t="s">
        <v>25</v>
      </c>
      <c r="B34" s="23" t="s">
        <v>80</v>
      </c>
      <c r="C34" s="152"/>
      <c r="D34" s="155"/>
    </row>
    <row r="35" spans="1:4" ht="36" customHeight="1">
      <c r="A35" s="9" t="s">
        <v>26</v>
      </c>
      <c r="B35" s="22" t="s">
        <v>22</v>
      </c>
      <c r="C35" s="152"/>
      <c r="D35" s="155"/>
    </row>
    <row r="36" spans="1:4" ht="14.25" customHeight="1">
      <c r="A36" s="9" t="s">
        <v>27</v>
      </c>
      <c r="B36" s="22" t="s">
        <v>24</v>
      </c>
      <c r="C36" s="152"/>
      <c r="D36" s="155"/>
    </row>
    <row r="37" spans="1:4" ht="33.75" customHeight="1">
      <c r="A37" s="24" t="s">
        <v>28</v>
      </c>
      <c r="B37" s="22" t="s">
        <v>22</v>
      </c>
      <c r="C37" s="153"/>
      <c r="D37" s="156"/>
    </row>
    <row r="38" spans="1:4" ht="15.75" customHeight="1">
      <c r="A38" s="167" t="s">
        <v>65</v>
      </c>
      <c r="B38" s="167"/>
      <c r="C38" s="167"/>
      <c r="D38" s="167"/>
    </row>
    <row r="39" spans="1:4" ht="36.75" customHeight="1">
      <c r="A39" s="9" t="s">
        <v>66</v>
      </c>
      <c r="B39" s="22" t="s">
        <v>79</v>
      </c>
      <c r="C39" s="154">
        <v>1.72</v>
      </c>
      <c r="D39" s="152">
        <f>C39*12*B8</f>
        <v>112822.368</v>
      </c>
    </row>
    <row r="40" spans="1:4" ht="14.25" customHeight="1">
      <c r="A40" s="9" t="s">
        <v>67</v>
      </c>
      <c r="B40" s="22" t="s">
        <v>80</v>
      </c>
      <c r="C40" s="154"/>
      <c r="D40" s="168"/>
    </row>
    <row r="41" spans="1:4" ht="14.25" customHeight="1">
      <c r="A41" s="9" t="s">
        <v>68</v>
      </c>
      <c r="B41" s="22" t="s">
        <v>80</v>
      </c>
      <c r="C41" s="154"/>
      <c r="D41" s="168"/>
    </row>
    <row r="42" spans="1:4" ht="24" customHeight="1">
      <c r="A42" s="9" t="s">
        <v>69</v>
      </c>
      <c r="B42" s="22" t="s">
        <v>79</v>
      </c>
      <c r="C42" s="154"/>
      <c r="D42" s="168"/>
    </row>
    <row r="43" spans="1:4" ht="25.5" customHeight="1">
      <c r="A43" s="10" t="s">
        <v>70</v>
      </c>
      <c r="B43" s="22" t="s">
        <v>79</v>
      </c>
      <c r="C43" s="154"/>
      <c r="D43" s="168"/>
    </row>
    <row r="44" spans="1:4" ht="14.25" customHeight="1">
      <c r="A44" s="9" t="s">
        <v>71</v>
      </c>
      <c r="B44" s="22" t="s">
        <v>24</v>
      </c>
      <c r="C44" s="154"/>
      <c r="D44" s="162"/>
    </row>
    <row r="45" spans="1:4" ht="11.25" customHeight="1">
      <c r="A45" s="169" t="s">
        <v>29</v>
      </c>
      <c r="B45" s="169"/>
      <c r="C45" s="169"/>
      <c r="D45" s="169"/>
    </row>
    <row r="46" spans="1:4" ht="35.25" customHeight="1">
      <c r="A46" s="9" t="s">
        <v>30</v>
      </c>
      <c r="B46" s="22" t="s">
        <v>22</v>
      </c>
      <c r="C46" s="154">
        <v>1.18</v>
      </c>
      <c r="D46" s="152">
        <f>C46*12*B8</f>
        <v>77401.391999999993</v>
      </c>
    </row>
    <row r="47" spans="1:4" ht="38.25" customHeight="1">
      <c r="A47" s="9" t="s">
        <v>31</v>
      </c>
      <c r="B47" s="22" t="s">
        <v>22</v>
      </c>
      <c r="C47" s="154"/>
      <c r="D47" s="152"/>
    </row>
    <row r="48" spans="1:4" ht="15" customHeight="1">
      <c r="A48" s="10" t="s">
        <v>32</v>
      </c>
      <c r="B48" s="22" t="s">
        <v>22</v>
      </c>
      <c r="C48" s="154"/>
      <c r="D48" s="152"/>
    </row>
    <row r="49" spans="1:4" ht="12.75" customHeight="1">
      <c r="A49" s="167" t="s">
        <v>33</v>
      </c>
      <c r="B49" s="167"/>
      <c r="C49" s="167"/>
      <c r="D49" s="167"/>
    </row>
    <row r="50" spans="1:4" ht="29.25" customHeight="1">
      <c r="A50" s="9" t="s">
        <v>34</v>
      </c>
      <c r="B50" s="22" t="s">
        <v>77</v>
      </c>
      <c r="C50" s="154">
        <v>2.79</v>
      </c>
      <c r="D50" s="154">
        <f>C50*12*B8</f>
        <v>183008.37600000002</v>
      </c>
    </row>
    <row r="51" spans="1:4" ht="14.25" customHeight="1">
      <c r="A51" s="9" t="s">
        <v>35</v>
      </c>
      <c r="B51" s="22" t="s">
        <v>81</v>
      </c>
      <c r="C51" s="154"/>
      <c r="D51" s="154"/>
    </row>
    <row r="52" spans="1:4" ht="17.25" customHeight="1">
      <c r="A52" s="9" t="s">
        <v>36</v>
      </c>
      <c r="B52" s="22" t="s">
        <v>81</v>
      </c>
      <c r="C52" s="154"/>
      <c r="D52" s="154"/>
    </row>
    <row r="53" spans="1:4" ht="24.75" customHeight="1">
      <c r="A53" s="9" t="s">
        <v>37</v>
      </c>
      <c r="B53" s="22" t="s">
        <v>82</v>
      </c>
      <c r="C53" s="154"/>
      <c r="D53" s="154"/>
    </row>
    <row r="54" spans="1:4" ht="30" customHeight="1">
      <c r="A54" s="9" t="s">
        <v>38</v>
      </c>
      <c r="B54" s="22" t="s">
        <v>82</v>
      </c>
      <c r="C54" s="154"/>
      <c r="D54" s="154"/>
    </row>
    <row r="55" spans="1:4" ht="12.75" customHeight="1">
      <c r="A55" s="95" t="s">
        <v>95</v>
      </c>
      <c r="B55" s="6"/>
      <c r="C55" s="154"/>
      <c r="D55" s="154"/>
    </row>
    <row r="56" spans="1:4" ht="35.25" customHeight="1">
      <c r="A56" s="9" t="s">
        <v>40</v>
      </c>
      <c r="B56" s="22" t="s">
        <v>79</v>
      </c>
      <c r="C56" s="154"/>
      <c r="D56" s="154"/>
    </row>
    <row r="57" spans="1:4" ht="14.25" customHeight="1">
      <c r="A57" s="9" t="s">
        <v>41</v>
      </c>
      <c r="B57" s="22" t="s">
        <v>80</v>
      </c>
      <c r="C57" s="154"/>
      <c r="D57" s="154"/>
    </row>
    <row r="58" spans="1:4" ht="14.25" customHeight="1">
      <c r="A58" s="9" t="s">
        <v>42</v>
      </c>
      <c r="B58" s="23" t="s">
        <v>80</v>
      </c>
      <c r="C58" s="154"/>
      <c r="D58" s="154"/>
    </row>
    <row r="59" spans="1:4" ht="13.5" customHeight="1">
      <c r="A59" s="9" t="s">
        <v>43</v>
      </c>
      <c r="B59" s="23" t="s">
        <v>80</v>
      </c>
      <c r="C59" s="154"/>
      <c r="D59" s="154"/>
    </row>
    <row r="60" spans="1:4" ht="13.5" customHeight="1">
      <c r="A60" s="9" t="s">
        <v>44</v>
      </c>
      <c r="B60" s="21" t="s">
        <v>231</v>
      </c>
      <c r="C60" s="154"/>
      <c r="D60" s="154"/>
    </row>
    <row r="61" spans="1:4" ht="36.75" customHeight="1">
      <c r="A61" s="10" t="s">
        <v>45</v>
      </c>
      <c r="B61" s="22" t="s">
        <v>22</v>
      </c>
      <c r="C61" s="154"/>
      <c r="D61" s="154"/>
    </row>
    <row r="62" spans="1:4">
      <c r="A62" s="167" t="s">
        <v>46</v>
      </c>
      <c r="B62" s="167"/>
      <c r="C62" s="167"/>
      <c r="D62" s="167"/>
    </row>
    <row r="63" spans="1:4" ht="15.75" customHeight="1">
      <c r="A63" s="9" t="s">
        <v>47</v>
      </c>
      <c r="B63" s="22" t="s">
        <v>83</v>
      </c>
      <c r="C63" s="153">
        <v>1.85</v>
      </c>
      <c r="D63" s="166">
        <f>C63*12*B8-1751.38</f>
        <v>119598.26000000001</v>
      </c>
    </row>
    <row r="64" spans="1:4" ht="12.75" customHeight="1">
      <c r="A64" s="9" t="s">
        <v>48</v>
      </c>
      <c r="B64" s="22" t="s">
        <v>83</v>
      </c>
      <c r="C64" s="168"/>
      <c r="D64" s="155"/>
    </row>
    <row r="65" spans="1:5" ht="29.25" customHeight="1">
      <c r="A65" s="9" t="s">
        <v>49</v>
      </c>
      <c r="B65" s="22" t="s">
        <v>83</v>
      </c>
      <c r="C65" s="168"/>
      <c r="D65" s="155"/>
    </row>
    <row r="66" spans="1:5" ht="19.5" customHeight="1">
      <c r="A66" s="9" t="s">
        <v>50</v>
      </c>
      <c r="B66" s="22" t="s">
        <v>83</v>
      </c>
      <c r="C66" s="168"/>
      <c r="D66" s="155"/>
    </row>
    <row r="67" spans="1:5" ht="36.75" customHeight="1">
      <c r="A67" s="10" t="s">
        <v>51</v>
      </c>
      <c r="B67" s="22" t="s">
        <v>22</v>
      </c>
      <c r="C67" s="168"/>
      <c r="D67" s="155"/>
    </row>
    <row r="68" spans="1:5" ht="16.5" customHeight="1">
      <c r="A68" s="10" t="s">
        <v>52</v>
      </c>
      <c r="B68" s="23" t="s">
        <v>84</v>
      </c>
      <c r="C68" s="162"/>
      <c r="D68" s="156"/>
    </row>
    <row r="69" spans="1:5">
      <c r="A69" s="157" t="s">
        <v>85</v>
      </c>
      <c r="B69" s="158"/>
      <c r="C69" s="158"/>
      <c r="D69" s="159"/>
    </row>
    <row r="70" spans="1:5" ht="26.25" customHeight="1">
      <c r="A70" s="175" t="s">
        <v>96</v>
      </c>
      <c r="B70" s="177" t="s">
        <v>86</v>
      </c>
      <c r="C70" s="152">
        <v>2.41</v>
      </c>
      <c r="D70" s="154">
        <f>C70*12*B8</f>
        <v>158082.50400000002</v>
      </c>
    </row>
    <row r="71" spans="1:5" ht="3.75" customHeight="1">
      <c r="A71" s="176"/>
      <c r="B71" s="177"/>
      <c r="C71" s="152"/>
      <c r="D71" s="154"/>
    </row>
    <row r="72" spans="1:5" ht="15" customHeight="1">
      <c r="A72" s="157" t="s">
        <v>55</v>
      </c>
      <c r="B72" s="158"/>
      <c r="C72" s="158"/>
      <c r="D72" s="159"/>
    </row>
    <row r="73" spans="1:5" ht="16.5" customHeight="1">
      <c r="A73" s="6" t="s">
        <v>90</v>
      </c>
      <c r="B73" s="21" t="s">
        <v>87</v>
      </c>
      <c r="C73" s="170">
        <v>2.14</v>
      </c>
      <c r="D73" s="172">
        <f>11697.67+128509.19</f>
        <v>140206.86000000002</v>
      </c>
    </row>
    <row r="74" spans="1:5">
      <c r="A74" s="6" t="s">
        <v>91</v>
      </c>
      <c r="B74" s="21" t="s">
        <v>87</v>
      </c>
      <c r="C74" s="171"/>
      <c r="D74" s="173"/>
    </row>
    <row r="75" spans="1:5" ht="15" customHeight="1">
      <c r="A75" s="6" t="s">
        <v>92</v>
      </c>
      <c r="B75" s="21" t="s">
        <v>87</v>
      </c>
      <c r="C75" s="169"/>
      <c r="D75" s="174"/>
    </row>
    <row r="76" spans="1:5" ht="38.25" customHeight="1">
      <c r="A76" s="6" t="s">
        <v>143</v>
      </c>
      <c r="B76" s="22" t="s">
        <v>22</v>
      </c>
      <c r="C76" s="93">
        <v>4.3499999999999996</v>
      </c>
      <c r="D76" s="93">
        <f>C76*12*B8</f>
        <v>285335.63999999996</v>
      </c>
      <c r="E76" s="40"/>
    </row>
    <row r="77" spans="1:5">
      <c r="A77" s="95" t="s">
        <v>56</v>
      </c>
      <c r="B77" s="23"/>
      <c r="C77" s="28">
        <f>C76+C73+C70+C63+C50+C46+C39+C32+C28+C21+C18+C17+C16+C13</f>
        <v>21.623833497981529</v>
      </c>
      <c r="D77" s="28">
        <f>D76+D73+D70+D63+D50+D39+D46+D32+D28+D21+D18+D17+D16+D13</f>
        <v>1416485.8479999998</v>
      </c>
    </row>
    <row r="78" spans="1:5">
      <c r="C78" t="s">
        <v>201</v>
      </c>
    </row>
    <row r="79" spans="1:5">
      <c r="D79" s="40"/>
    </row>
    <row r="80" spans="1:5">
      <c r="D80" s="40"/>
    </row>
    <row r="81" spans="4:4">
      <c r="D81" s="40"/>
    </row>
    <row r="82" spans="4:4">
      <c r="D82" s="40"/>
    </row>
  </sheetData>
  <mergeCells count="34">
    <mergeCell ref="A69:D69"/>
    <mergeCell ref="A38:D38"/>
    <mergeCell ref="C39:C44"/>
    <mergeCell ref="D39:D44"/>
    <mergeCell ref="A30:D30"/>
    <mergeCell ref="A31:D31"/>
    <mergeCell ref="C32:C37"/>
    <mergeCell ref="D32:D37"/>
    <mergeCell ref="A12:D12"/>
    <mergeCell ref="C21:C26"/>
    <mergeCell ref="D21:D26"/>
    <mergeCell ref="A27:D27"/>
    <mergeCell ref="C28:C29"/>
    <mergeCell ref="D28:D29"/>
    <mergeCell ref="A19:D19"/>
    <mergeCell ref="B13:B14"/>
    <mergeCell ref="C13:C14"/>
    <mergeCell ref="D13:D14"/>
    <mergeCell ref="A72:D72"/>
    <mergeCell ref="C73:C75"/>
    <mergeCell ref="D73:D75"/>
    <mergeCell ref="A45:D45"/>
    <mergeCell ref="C46:C48"/>
    <mergeCell ref="D46:D48"/>
    <mergeCell ref="A49:D49"/>
    <mergeCell ref="C50:C61"/>
    <mergeCell ref="D50:D61"/>
    <mergeCell ref="A62:D62"/>
    <mergeCell ref="A70:A71"/>
    <mergeCell ref="B70:B71"/>
    <mergeCell ref="C70:C71"/>
    <mergeCell ref="D70:D71"/>
    <mergeCell ref="C63:C68"/>
    <mergeCell ref="D63:D6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81"/>
  <sheetViews>
    <sheetView workbookViewId="0">
      <selection activeCell="D71" sqref="D71:D73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228</v>
      </c>
      <c r="B2" s="2"/>
      <c r="C2" s="2"/>
      <c r="D2" s="2"/>
    </row>
    <row r="3" spans="1:4">
      <c r="A3" s="1" t="s">
        <v>241</v>
      </c>
      <c r="B3" s="2"/>
      <c r="C3" s="2"/>
      <c r="D3" s="2"/>
    </row>
    <row r="4" spans="1:4">
      <c r="A4" s="25" t="s">
        <v>58</v>
      </c>
      <c r="B4" s="2">
        <v>1984</v>
      </c>
      <c r="C4" s="2"/>
      <c r="D4" s="2"/>
    </row>
    <row r="5" spans="1:4">
      <c r="A5" s="25" t="s">
        <v>59</v>
      </c>
      <c r="B5" s="2">
        <v>4</v>
      </c>
      <c r="C5" s="2"/>
      <c r="D5" s="2"/>
    </row>
    <row r="6" spans="1:4">
      <c r="A6" s="25" t="s">
        <v>60</v>
      </c>
      <c r="B6" s="2">
        <v>1</v>
      </c>
      <c r="C6" s="2"/>
      <c r="D6" s="2"/>
    </row>
    <row r="7" spans="1:4">
      <c r="A7" s="25" t="s">
        <v>61</v>
      </c>
      <c r="B7" s="2">
        <v>34</v>
      </c>
      <c r="C7" s="2"/>
      <c r="D7" s="2"/>
    </row>
    <row r="8" spans="1:4">
      <c r="A8" s="25" t="s">
        <v>72</v>
      </c>
      <c r="B8" s="2">
        <v>1546.4</v>
      </c>
      <c r="C8" s="2"/>
      <c r="D8" s="2"/>
    </row>
    <row r="9" spans="1:4">
      <c r="A9" s="25" t="s">
        <v>62</v>
      </c>
      <c r="B9" s="2">
        <v>893.4</v>
      </c>
      <c r="C9" s="2"/>
      <c r="D9" s="2"/>
    </row>
    <row r="10" spans="1:4">
      <c r="A10" s="25" t="s">
        <v>73</v>
      </c>
      <c r="B10" s="46">
        <v>509.3</v>
      </c>
      <c r="C10" s="2"/>
      <c r="D10" s="2"/>
    </row>
    <row r="11" spans="1:4" ht="36.75">
      <c r="A11" s="94" t="s">
        <v>1</v>
      </c>
      <c r="B11" s="94" t="s">
        <v>2</v>
      </c>
      <c r="C11" s="94" t="s">
        <v>3</v>
      </c>
      <c r="D11" s="94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1.54</v>
      </c>
      <c r="D13" s="163">
        <f>C13*12*B8</f>
        <v>28577.472000000002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6" t="s">
        <v>9</v>
      </c>
      <c r="B15" s="94"/>
      <c r="C15" s="26"/>
      <c r="D15" s="30"/>
    </row>
    <row r="16" spans="1:4">
      <c r="A16" s="6" t="s">
        <v>327</v>
      </c>
      <c r="B16" s="128" t="s">
        <v>105</v>
      </c>
      <c r="C16" s="44">
        <v>0.28000000000000003</v>
      </c>
      <c r="D16" s="30">
        <f>C16*12*B8</f>
        <v>5195.9040000000005</v>
      </c>
    </row>
    <row r="17" spans="1:4">
      <c r="A17" s="165" t="s">
        <v>10</v>
      </c>
      <c r="B17" s="165"/>
      <c r="C17" s="165"/>
      <c r="D17" s="165"/>
    </row>
    <row r="18" spans="1:4" ht="13.5" customHeight="1">
      <c r="A18" s="39" t="s">
        <v>97</v>
      </c>
      <c r="B18" s="95"/>
      <c r="C18" s="95"/>
      <c r="D18" s="95"/>
    </row>
    <row r="19" spans="1:4" ht="13.5" customHeight="1">
      <c r="A19" s="6" t="s">
        <v>11</v>
      </c>
      <c r="B19" s="94" t="s">
        <v>75</v>
      </c>
      <c r="C19" s="152">
        <v>2.16</v>
      </c>
      <c r="D19" s="166">
        <f>C19*B8*12</f>
        <v>40082.688000000009</v>
      </c>
    </row>
    <row r="20" spans="1:4" ht="12.75" customHeight="1">
      <c r="A20" s="6" t="s">
        <v>12</v>
      </c>
      <c r="B20" s="94" t="s">
        <v>75</v>
      </c>
      <c r="C20" s="152"/>
      <c r="D20" s="155"/>
    </row>
    <row r="21" spans="1:4" ht="14.25" customHeight="1">
      <c r="A21" s="6" t="s">
        <v>13</v>
      </c>
      <c r="B21" s="94" t="s">
        <v>75</v>
      </c>
      <c r="C21" s="152"/>
      <c r="D21" s="155"/>
    </row>
    <row r="22" spans="1:4" ht="13.5" customHeight="1">
      <c r="A22" s="6" t="s">
        <v>14</v>
      </c>
      <c r="B22" s="94" t="s">
        <v>76</v>
      </c>
      <c r="C22" s="152"/>
      <c r="D22" s="155"/>
    </row>
    <row r="23" spans="1:4" ht="12.75" customHeight="1">
      <c r="A23" s="39" t="s">
        <v>93</v>
      </c>
      <c r="B23" s="94"/>
      <c r="C23" s="152"/>
      <c r="D23" s="155"/>
    </row>
    <row r="24" spans="1:4" ht="30" customHeight="1">
      <c r="A24" s="6" t="s">
        <v>15</v>
      </c>
      <c r="B24" s="94" t="s">
        <v>94</v>
      </c>
      <c r="C24" s="152"/>
      <c r="D24" s="156"/>
    </row>
    <row r="25" spans="1:4" ht="12.75" customHeight="1">
      <c r="A25" s="157" t="s">
        <v>16</v>
      </c>
      <c r="B25" s="158"/>
      <c r="C25" s="158"/>
      <c r="D25" s="159"/>
    </row>
    <row r="26" spans="1:4" ht="12" customHeight="1">
      <c r="A26" s="7" t="s">
        <v>17</v>
      </c>
      <c r="B26" s="21" t="s">
        <v>78</v>
      </c>
      <c r="C26" s="152">
        <v>0.2</v>
      </c>
      <c r="D26" s="167">
        <f>C26*B8*12</f>
        <v>3711.3600000000006</v>
      </c>
    </row>
    <row r="27" spans="1:4" ht="12" customHeight="1">
      <c r="A27" s="7" t="s">
        <v>18</v>
      </c>
      <c r="B27" s="21" t="s">
        <v>77</v>
      </c>
      <c r="C27" s="152"/>
      <c r="D27" s="167"/>
    </row>
    <row r="28" spans="1:4" ht="13.5" customHeight="1">
      <c r="A28" s="157" t="s">
        <v>19</v>
      </c>
      <c r="B28" s="158"/>
      <c r="C28" s="158"/>
      <c r="D28" s="159"/>
    </row>
    <row r="29" spans="1:4">
      <c r="A29" s="167" t="s">
        <v>20</v>
      </c>
      <c r="B29" s="167"/>
      <c r="C29" s="167"/>
      <c r="D29" s="167"/>
    </row>
    <row r="30" spans="1:4" ht="37.5" customHeight="1">
      <c r="A30" s="8" t="s">
        <v>21</v>
      </c>
      <c r="B30" s="22" t="s">
        <v>79</v>
      </c>
      <c r="C30" s="152">
        <v>1.52</v>
      </c>
      <c r="D30" s="154">
        <f>C30*B8*12</f>
        <v>28206.336000000003</v>
      </c>
    </row>
    <row r="31" spans="1:4" ht="15" customHeight="1">
      <c r="A31" s="9" t="s">
        <v>23</v>
      </c>
      <c r="B31" s="23" t="s">
        <v>80</v>
      </c>
      <c r="C31" s="152"/>
      <c r="D31" s="155"/>
    </row>
    <row r="32" spans="1:4" ht="13.5" customHeight="1">
      <c r="A32" s="9" t="s">
        <v>25</v>
      </c>
      <c r="B32" s="23" t="s">
        <v>80</v>
      </c>
      <c r="C32" s="152"/>
      <c r="D32" s="155"/>
    </row>
    <row r="33" spans="1:4" ht="36" customHeight="1">
      <c r="A33" s="9" t="s">
        <v>26</v>
      </c>
      <c r="B33" s="22" t="s">
        <v>22</v>
      </c>
      <c r="C33" s="152"/>
      <c r="D33" s="155"/>
    </row>
    <row r="34" spans="1:4" ht="14.25" customHeight="1">
      <c r="A34" s="9" t="s">
        <v>27</v>
      </c>
      <c r="B34" s="22" t="s">
        <v>24</v>
      </c>
      <c r="C34" s="152"/>
      <c r="D34" s="155"/>
    </row>
    <row r="35" spans="1:4" ht="33.75" customHeight="1">
      <c r="A35" s="24" t="s">
        <v>28</v>
      </c>
      <c r="B35" s="22" t="s">
        <v>22</v>
      </c>
      <c r="C35" s="153"/>
      <c r="D35" s="156"/>
    </row>
    <row r="36" spans="1:4" ht="15.75" customHeight="1">
      <c r="A36" s="167" t="s">
        <v>65</v>
      </c>
      <c r="B36" s="167"/>
      <c r="C36" s="167"/>
      <c r="D36" s="167"/>
    </row>
    <row r="37" spans="1:4" ht="36.75" customHeight="1">
      <c r="A37" s="9" t="s">
        <v>66</v>
      </c>
      <c r="B37" s="22" t="s">
        <v>79</v>
      </c>
      <c r="C37" s="154">
        <v>1.25</v>
      </c>
      <c r="D37" s="152">
        <f>C37*B8*12</f>
        <v>23196</v>
      </c>
    </row>
    <row r="38" spans="1:4" ht="14.25" customHeight="1">
      <c r="A38" s="9" t="s">
        <v>67</v>
      </c>
      <c r="B38" s="22" t="s">
        <v>80</v>
      </c>
      <c r="C38" s="154"/>
      <c r="D38" s="168"/>
    </row>
    <row r="39" spans="1:4" ht="14.25" customHeight="1">
      <c r="A39" s="9" t="s">
        <v>68</v>
      </c>
      <c r="B39" s="22" t="s">
        <v>80</v>
      </c>
      <c r="C39" s="154"/>
      <c r="D39" s="168"/>
    </row>
    <row r="40" spans="1:4" ht="24" customHeight="1">
      <c r="A40" s="9" t="s">
        <v>69</v>
      </c>
      <c r="B40" s="22" t="s">
        <v>79</v>
      </c>
      <c r="C40" s="154"/>
      <c r="D40" s="168"/>
    </row>
    <row r="41" spans="1:4" ht="25.5" customHeight="1">
      <c r="A41" s="10" t="s">
        <v>70</v>
      </c>
      <c r="B41" s="22" t="s">
        <v>79</v>
      </c>
      <c r="C41" s="154"/>
      <c r="D41" s="168"/>
    </row>
    <row r="42" spans="1:4" ht="14.25" customHeight="1">
      <c r="A42" s="9" t="s">
        <v>71</v>
      </c>
      <c r="B42" s="22" t="s">
        <v>24</v>
      </c>
      <c r="C42" s="154"/>
      <c r="D42" s="162"/>
    </row>
    <row r="43" spans="1:4" ht="11.25" customHeight="1">
      <c r="A43" s="169" t="s">
        <v>29</v>
      </c>
      <c r="B43" s="169"/>
      <c r="C43" s="169"/>
      <c r="D43" s="169"/>
    </row>
    <row r="44" spans="1:4" ht="35.25" customHeight="1">
      <c r="A44" s="9" t="s">
        <v>30</v>
      </c>
      <c r="B44" s="22" t="s">
        <v>22</v>
      </c>
      <c r="C44" s="154">
        <v>1.59</v>
      </c>
      <c r="D44" s="152">
        <f>C44*12*B8</f>
        <v>29505.312000000005</v>
      </c>
    </row>
    <row r="45" spans="1:4" ht="38.25" customHeight="1">
      <c r="A45" s="9" t="s">
        <v>31</v>
      </c>
      <c r="B45" s="22" t="s">
        <v>22</v>
      </c>
      <c r="C45" s="154"/>
      <c r="D45" s="152"/>
    </row>
    <row r="46" spans="1:4" ht="15" customHeight="1">
      <c r="A46" s="10" t="s">
        <v>32</v>
      </c>
      <c r="B46" s="22" t="s">
        <v>22</v>
      </c>
      <c r="C46" s="154"/>
      <c r="D46" s="152"/>
    </row>
    <row r="47" spans="1:4" ht="12.75" customHeight="1">
      <c r="A47" s="167" t="s">
        <v>33</v>
      </c>
      <c r="B47" s="167"/>
      <c r="C47" s="167"/>
      <c r="D47" s="167"/>
    </row>
    <row r="48" spans="1:4" ht="29.25" customHeight="1">
      <c r="A48" s="9" t="s">
        <v>34</v>
      </c>
      <c r="B48" s="22" t="s">
        <v>77</v>
      </c>
      <c r="C48" s="154">
        <f>1.99+0.22</f>
        <v>2.21</v>
      </c>
      <c r="D48" s="154">
        <f>C48*12*B8</f>
        <v>41010.527999999998</v>
      </c>
    </row>
    <row r="49" spans="1:4" ht="14.25" customHeight="1">
      <c r="A49" s="9" t="s">
        <v>35</v>
      </c>
      <c r="B49" s="22" t="s">
        <v>81</v>
      </c>
      <c r="C49" s="154"/>
      <c r="D49" s="154"/>
    </row>
    <row r="50" spans="1:4" ht="17.25" customHeight="1">
      <c r="A50" s="9" t="s">
        <v>36</v>
      </c>
      <c r="B50" s="22" t="s">
        <v>81</v>
      </c>
      <c r="C50" s="154"/>
      <c r="D50" s="154"/>
    </row>
    <row r="51" spans="1:4" ht="24.75" customHeight="1">
      <c r="A51" s="9" t="s">
        <v>37</v>
      </c>
      <c r="B51" s="22" t="s">
        <v>82</v>
      </c>
      <c r="C51" s="154"/>
      <c r="D51" s="154"/>
    </row>
    <row r="52" spans="1:4" ht="30" customHeight="1">
      <c r="A52" s="9" t="s">
        <v>38</v>
      </c>
      <c r="B52" s="22" t="s">
        <v>82</v>
      </c>
      <c r="C52" s="154"/>
      <c r="D52" s="154"/>
    </row>
    <row r="53" spans="1:4" ht="12.75" customHeight="1">
      <c r="A53" s="95" t="s">
        <v>95</v>
      </c>
      <c r="B53" s="6"/>
      <c r="C53" s="154"/>
      <c r="D53" s="154"/>
    </row>
    <row r="54" spans="1:4" ht="35.25" customHeight="1">
      <c r="A54" s="9" t="s">
        <v>40</v>
      </c>
      <c r="B54" s="22" t="s">
        <v>79</v>
      </c>
      <c r="C54" s="154"/>
      <c r="D54" s="154"/>
    </row>
    <row r="55" spans="1:4" ht="14.25" customHeight="1">
      <c r="A55" s="9" t="s">
        <v>41</v>
      </c>
      <c r="B55" s="22" t="s">
        <v>80</v>
      </c>
      <c r="C55" s="154"/>
      <c r="D55" s="154"/>
    </row>
    <row r="56" spans="1:4" ht="14.25" customHeight="1">
      <c r="A56" s="9" t="s">
        <v>42</v>
      </c>
      <c r="B56" s="23" t="s">
        <v>80</v>
      </c>
      <c r="C56" s="154"/>
      <c r="D56" s="154"/>
    </row>
    <row r="57" spans="1:4" ht="13.5" customHeight="1">
      <c r="A57" s="9" t="s">
        <v>43</v>
      </c>
      <c r="B57" s="23" t="s">
        <v>80</v>
      </c>
      <c r="C57" s="154"/>
      <c r="D57" s="154"/>
    </row>
    <row r="58" spans="1:4" ht="13.5" customHeight="1">
      <c r="A58" s="9" t="s">
        <v>44</v>
      </c>
      <c r="B58" s="21" t="s">
        <v>229</v>
      </c>
      <c r="C58" s="154"/>
      <c r="D58" s="154"/>
    </row>
    <row r="59" spans="1:4" ht="36.75" customHeight="1">
      <c r="A59" s="10" t="s">
        <v>45</v>
      </c>
      <c r="B59" s="22" t="s">
        <v>22</v>
      </c>
      <c r="C59" s="154"/>
      <c r="D59" s="154"/>
    </row>
    <row r="60" spans="1:4">
      <c r="A60" s="167" t="s">
        <v>46</v>
      </c>
      <c r="B60" s="167"/>
      <c r="C60" s="167"/>
      <c r="D60" s="167"/>
    </row>
    <row r="61" spans="1:4" ht="15.75" customHeight="1">
      <c r="A61" s="9" t="s">
        <v>47</v>
      </c>
      <c r="B61" s="22" t="s">
        <v>83</v>
      </c>
      <c r="C61" s="153">
        <v>1.97</v>
      </c>
      <c r="D61" s="166">
        <f>C61*B8*12+2541.52</f>
        <v>39098.416000000005</v>
      </c>
    </row>
    <row r="62" spans="1:4" ht="12.75" customHeight="1">
      <c r="A62" s="9" t="s">
        <v>48</v>
      </c>
      <c r="B62" s="22" t="s">
        <v>83</v>
      </c>
      <c r="C62" s="168"/>
      <c r="D62" s="155"/>
    </row>
    <row r="63" spans="1:4" ht="15.75" customHeight="1">
      <c r="A63" s="9" t="s">
        <v>49</v>
      </c>
      <c r="B63" s="22" t="s">
        <v>83</v>
      </c>
      <c r="C63" s="168"/>
      <c r="D63" s="155"/>
    </row>
    <row r="64" spans="1:4" ht="16.5" customHeight="1">
      <c r="A64" s="9" t="s">
        <v>50</v>
      </c>
      <c r="B64" s="22" t="s">
        <v>83</v>
      </c>
      <c r="C64" s="168"/>
      <c r="D64" s="155"/>
    </row>
    <row r="65" spans="1:4" ht="36.75" customHeight="1">
      <c r="A65" s="10" t="s">
        <v>51</v>
      </c>
      <c r="B65" s="22" t="s">
        <v>22</v>
      </c>
      <c r="C65" s="168"/>
      <c r="D65" s="155"/>
    </row>
    <row r="66" spans="1:4" ht="16.5" customHeight="1">
      <c r="A66" s="10" t="s">
        <v>52</v>
      </c>
      <c r="B66" s="23" t="s">
        <v>84</v>
      </c>
      <c r="C66" s="162"/>
      <c r="D66" s="156"/>
    </row>
    <row r="67" spans="1:4">
      <c r="A67" s="157" t="s">
        <v>85</v>
      </c>
      <c r="B67" s="158"/>
      <c r="C67" s="158"/>
      <c r="D67" s="159"/>
    </row>
    <row r="68" spans="1:4" ht="26.25" customHeight="1">
      <c r="A68" s="175" t="s">
        <v>96</v>
      </c>
      <c r="B68" s="177" t="s">
        <v>86</v>
      </c>
      <c r="C68" s="152">
        <v>2.41</v>
      </c>
      <c r="D68" s="154">
        <f>C68*B8*12</f>
        <v>44721.888000000006</v>
      </c>
    </row>
    <row r="69" spans="1:4" ht="3.75" customHeight="1">
      <c r="A69" s="176"/>
      <c r="B69" s="177"/>
      <c r="C69" s="152"/>
      <c r="D69" s="154"/>
    </row>
    <row r="70" spans="1:4" ht="15" customHeight="1">
      <c r="A70" s="157" t="s">
        <v>55</v>
      </c>
      <c r="B70" s="158"/>
      <c r="C70" s="158"/>
      <c r="D70" s="159"/>
    </row>
    <row r="71" spans="1:4" ht="16.5" customHeight="1">
      <c r="A71" s="6" t="s">
        <v>90</v>
      </c>
      <c r="B71" s="21" t="s">
        <v>87</v>
      </c>
      <c r="C71" s="170">
        <v>2.14</v>
      </c>
      <c r="D71" s="172">
        <f>3148.15+36842.45</f>
        <v>39990.6</v>
      </c>
    </row>
    <row r="72" spans="1:4">
      <c r="A72" s="6" t="s">
        <v>91</v>
      </c>
      <c r="B72" s="21" t="s">
        <v>87</v>
      </c>
      <c r="C72" s="171"/>
      <c r="D72" s="173"/>
    </row>
    <row r="73" spans="1:4" ht="15" customHeight="1">
      <c r="A73" s="6" t="s">
        <v>92</v>
      </c>
      <c r="B73" s="21" t="s">
        <v>87</v>
      </c>
      <c r="C73" s="169"/>
      <c r="D73" s="174"/>
    </row>
    <row r="74" spans="1:4" ht="38.25" customHeight="1">
      <c r="A74" s="6" t="s">
        <v>143</v>
      </c>
      <c r="B74" s="22" t="s">
        <v>22</v>
      </c>
      <c r="C74" s="93">
        <v>4.3499999999999996</v>
      </c>
      <c r="D74" s="93">
        <f>C74*12*B8</f>
        <v>80722.080000000002</v>
      </c>
    </row>
    <row r="75" spans="1:4">
      <c r="A75" s="95" t="s">
        <v>56</v>
      </c>
      <c r="B75" s="23"/>
      <c r="C75" s="28">
        <f>C71+C74+C68+C61+C48+C44+C37+C30+C26+C19+C16+C13</f>
        <v>21.62</v>
      </c>
      <c r="D75" s="28">
        <f>D71+D74+D68+D61+D48+D44+D37+D30+D26+D19+D16+D13</f>
        <v>404018.58400000003</v>
      </c>
    </row>
    <row r="76" spans="1:4">
      <c r="C76" t="s">
        <v>201</v>
      </c>
    </row>
    <row r="77" spans="1:4">
      <c r="D77" s="40"/>
    </row>
    <row r="78" spans="1:4">
      <c r="D78" s="40"/>
    </row>
    <row r="79" spans="1:4">
      <c r="D79" s="40"/>
    </row>
    <row r="80" spans="1:4">
      <c r="D80" s="40"/>
    </row>
    <row r="81" spans="4:4">
      <c r="D81" s="40"/>
    </row>
  </sheetData>
  <mergeCells count="34">
    <mergeCell ref="A67:D67"/>
    <mergeCell ref="A36:D36"/>
    <mergeCell ref="C37:C42"/>
    <mergeCell ref="D37:D42"/>
    <mergeCell ref="A28:D28"/>
    <mergeCell ref="A29:D29"/>
    <mergeCell ref="C30:C35"/>
    <mergeCell ref="D30:D35"/>
    <mergeCell ref="A12:D12"/>
    <mergeCell ref="C19:C24"/>
    <mergeCell ref="D19:D24"/>
    <mergeCell ref="A25:D25"/>
    <mergeCell ref="C26:C27"/>
    <mergeCell ref="D26:D27"/>
    <mergeCell ref="A17:D17"/>
    <mergeCell ref="B13:B14"/>
    <mergeCell ref="C13:C14"/>
    <mergeCell ref="D13:D14"/>
    <mergeCell ref="A70:D70"/>
    <mergeCell ref="C71:C73"/>
    <mergeCell ref="D71:D73"/>
    <mergeCell ref="A43:D43"/>
    <mergeCell ref="C44:C46"/>
    <mergeCell ref="D44:D46"/>
    <mergeCell ref="A47:D47"/>
    <mergeCell ref="C48:C59"/>
    <mergeCell ref="D48:D59"/>
    <mergeCell ref="A60:D60"/>
    <mergeCell ref="A68:A69"/>
    <mergeCell ref="B68:B69"/>
    <mergeCell ref="C68:C69"/>
    <mergeCell ref="D68:D69"/>
    <mergeCell ref="C61:C66"/>
    <mergeCell ref="D61:D6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72"/>
  <sheetViews>
    <sheetView workbookViewId="0">
      <selection activeCell="D66" sqref="D66"/>
    </sheetView>
  </sheetViews>
  <sheetFormatPr defaultRowHeight="15"/>
  <cols>
    <col min="1" max="1" width="90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227</v>
      </c>
      <c r="B2" s="2"/>
      <c r="C2" s="2"/>
      <c r="D2" s="2"/>
    </row>
    <row r="3" spans="1:4">
      <c r="A3" s="1" t="s">
        <v>268</v>
      </c>
      <c r="B3" s="2"/>
      <c r="C3" s="2"/>
      <c r="D3" s="2"/>
    </row>
    <row r="4" spans="1:4">
      <c r="A4" s="25" t="s">
        <v>58</v>
      </c>
      <c r="B4" s="2">
        <v>1963</v>
      </c>
      <c r="C4" s="2"/>
      <c r="D4" s="2"/>
    </row>
    <row r="5" spans="1:4">
      <c r="A5" s="25" t="s">
        <v>59</v>
      </c>
      <c r="B5" s="2">
        <v>4</v>
      </c>
      <c r="C5" s="2"/>
      <c r="D5" s="2"/>
    </row>
    <row r="6" spans="1:4">
      <c r="A6" s="25" t="s">
        <v>60</v>
      </c>
      <c r="B6" s="2">
        <v>2</v>
      </c>
      <c r="C6" s="2"/>
      <c r="D6" s="2"/>
    </row>
    <row r="7" spans="1:4">
      <c r="A7" s="25" t="s">
        <v>61</v>
      </c>
      <c r="B7" s="2">
        <v>32</v>
      </c>
      <c r="C7" s="2"/>
      <c r="D7" s="2"/>
    </row>
    <row r="8" spans="1:4">
      <c r="A8" s="25" t="s">
        <v>72</v>
      </c>
      <c r="B8" s="2">
        <v>1282.0999999999999</v>
      </c>
      <c r="C8" s="2"/>
      <c r="D8" s="2"/>
    </row>
    <row r="9" spans="1:4">
      <c r="A9" s="25" t="s">
        <v>62</v>
      </c>
      <c r="B9" s="2">
        <v>94.9</v>
      </c>
      <c r="C9" s="2"/>
      <c r="D9" s="2"/>
    </row>
    <row r="10" spans="1:4">
      <c r="A10" s="25" t="s">
        <v>73</v>
      </c>
      <c r="B10" s="46" t="s">
        <v>100</v>
      </c>
      <c r="C10" s="2"/>
      <c r="D10" s="2"/>
    </row>
    <row r="11" spans="1:4" ht="36.75">
      <c r="A11" s="94" t="s">
        <v>1</v>
      </c>
      <c r="B11" s="94" t="s">
        <v>2</v>
      </c>
      <c r="C11" s="94" t="s">
        <v>3</v>
      </c>
      <c r="D11" s="94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1.91</v>
      </c>
      <c r="D13" s="163">
        <f>C13*12*B8</f>
        <v>29385.731999999996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6" t="s">
        <v>9</v>
      </c>
      <c r="B15" s="94"/>
      <c r="C15" s="26"/>
      <c r="D15" s="30"/>
    </row>
    <row r="16" spans="1:4">
      <c r="A16" s="165" t="s">
        <v>10</v>
      </c>
      <c r="B16" s="165"/>
      <c r="C16" s="165"/>
      <c r="D16" s="165"/>
    </row>
    <row r="17" spans="1:4" ht="13.5" customHeight="1">
      <c r="A17" s="39" t="s">
        <v>97</v>
      </c>
      <c r="B17" s="95"/>
      <c r="C17" s="95"/>
      <c r="D17" s="95"/>
    </row>
    <row r="18" spans="1:4" ht="13.5" customHeight="1">
      <c r="A18" s="6" t="s">
        <v>11</v>
      </c>
      <c r="B18" s="94" t="s">
        <v>75</v>
      </c>
      <c r="C18" s="152">
        <v>2.16</v>
      </c>
      <c r="D18" s="166">
        <f>C18*B8*12</f>
        <v>33232.031999999999</v>
      </c>
    </row>
    <row r="19" spans="1:4" ht="12.75" customHeight="1">
      <c r="A19" s="6" t="s">
        <v>12</v>
      </c>
      <c r="B19" s="94" t="s">
        <v>75</v>
      </c>
      <c r="C19" s="152"/>
      <c r="D19" s="155"/>
    </row>
    <row r="20" spans="1:4" ht="14.25" customHeight="1">
      <c r="A20" s="6" t="s">
        <v>13</v>
      </c>
      <c r="B20" s="94" t="s">
        <v>75</v>
      </c>
      <c r="C20" s="152"/>
      <c r="D20" s="155"/>
    </row>
    <row r="21" spans="1:4" ht="13.5" customHeight="1">
      <c r="A21" s="6" t="s">
        <v>14</v>
      </c>
      <c r="B21" s="94" t="s">
        <v>76</v>
      </c>
      <c r="C21" s="152"/>
      <c r="D21" s="155"/>
    </row>
    <row r="22" spans="1:4" ht="12.75" customHeight="1">
      <c r="A22" s="39" t="s">
        <v>93</v>
      </c>
      <c r="B22" s="94"/>
      <c r="C22" s="152"/>
      <c r="D22" s="155"/>
    </row>
    <row r="23" spans="1:4" ht="30" customHeight="1">
      <c r="A23" s="6" t="s">
        <v>15</v>
      </c>
      <c r="B23" s="94" t="s">
        <v>94</v>
      </c>
      <c r="C23" s="152"/>
      <c r="D23" s="156"/>
    </row>
    <row r="24" spans="1:4" ht="12.75" customHeight="1">
      <c r="A24" s="157" t="s">
        <v>16</v>
      </c>
      <c r="B24" s="158"/>
      <c r="C24" s="158"/>
      <c r="D24" s="159"/>
    </row>
    <row r="25" spans="1:4" ht="12" customHeight="1">
      <c r="A25" s="7" t="s">
        <v>17</v>
      </c>
      <c r="B25" s="21" t="s">
        <v>78</v>
      </c>
      <c r="C25" s="152">
        <v>0.2</v>
      </c>
      <c r="D25" s="167">
        <f>C25*B8*12</f>
        <v>3077.04</v>
      </c>
    </row>
    <row r="26" spans="1:4" ht="12" customHeight="1">
      <c r="A26" s="7" t="s">
        <v>18</v>
      </c>
      <c r="B26" s="21" t="s">
        <v>77</v>
      </c>
      <c r="C26" s="152"/>
      <c r="D26" s="167"/>
    </row>
    <row r="27" spans="1:4" ht="13.5" customHeight="1">
      <c r="A27" s="157" t="s">
        <v>19</v>
      </c>
      <c r="B27" s="158"/>
      <c r="C27" s="158"/>
      <c r="D27" s="159"/>
    </row>
    <row r="28" spans="1:4">
      <c r="A28" s="167" t="s">
        <v>20</v>
      </c>
      <c r="B28" s="167"/>
      <c r="C28" s="167"/>
      <c r="D28" s="167"/>
    </row>
    <row r="29" spans="1:4" ht="37.5" customHeight="1">
      <c r="A29" s="8" t="s">
        <v>21</v>
      </c>
      <c r="B29" s="22" t="s">
        <v>79</v>
      </c>
      <c r="C29" s="152">
        <v>0.54</v>
      </c>
      <c r="D29" s="154">
        <f>C29*B8*12</f>
        <v>8308.0079999999998</v>
      </c>
    </row>
    <row r="30" spans="1:4" ht="15" customHeight="1">
      <c r="A30" s="9" t="s">
        <v>23</v>
      </c>
      <c r="B30" s="23" t="s">
        <v>80</v>
      </c>
      <c r="C30" s="152"/>
      <c r="D30" s="155"/>
    </row>
    <row r="31" spans="1:4" ht="13.5" customHeight="1">
      <c r="A31" s="9" t="s">
        <v>25</v>
      </c>
      <c r="B31" s="23" t="s">
        <v>80</v>
      </c>
      <c r="C31" s="152"/>
      <c r="D31" s="155"/>
    </row>
    <row r="32" spans="1:4" ht="36" customHeight="1">
      <c r="A32" s="9" t="s">
        <v>26</v>
      </c>
      <c r="B32" s="22" t="s">
        <v>22</v>
      </c>
      <c r="C32" s="152"/>
      <c r="D32" s="155"/>
    </row>
    <row r="33" spans="1:4" ht="14.25" customHeight="1">
      <c r="A33" s="9" t="s">
        <v>27</v>
      </c>
      <c r="B33" s="22" t="s">
        <v>88</v>
      </c>
      <c r="C33" s="152"/>
      <c r="D33" s="155"/>
    </row>
    <row r="34" spans="1:4" ht="33.75" customHeight="1">
      <c r="A34" s="24" t="s">
        <v>28</v>
      </c>
      <c r="B34" s="22" t="s">
        <v>22</v>
      </c>
      <c r="C34" s="153"/>
      <c r="D34" s="156"/>
    </row>
    <row r="35" spans="1:4" ht="11.25" customHeight="1">
      <c r="A35" s="169" t="s">
        <v>29</v>
      </c>
      <c r="B35" s="169"/>
      <c r="C35" s="169"/>
      <c r="D35" s="169"/>
    </row>
    <row r="36" spans="1:4" ht="35.25" customHeight="1">
      <c r="A36" s="9" t="s">
        <v>30</v>
      </c>
      <c r="B36" s="22" t="s">
        <v>22</v>
      </c>
      <c r="C36" s="154">
        <v>0.64</v>
      </c>
      <c r="D36" s="152">
        <f>C36*12*B8</f>
        <v>9846.5279999999984</v>
      </c>
    </row>
    <row r="37" spans="1:4" ht="38.25" customHeight="1">
      <c r="A37" s="9" t="s">
        <v>31</v>
      </c>
      <c r="B37" s="22" t="s">
        <v>22</v>
      </c>
      <c r="C37" s="154"/>
      <c r="D37" s="152"/>
    </row>
    <row r="38" spans="1:4" ht="15" customHeight="1">
      <c r="A38" s="10" t="s">
        <v>32</v>
      </c>
      <c r="B38" s="22" t="s">
        <v>22</v>
      </c>
      <c r="C38" s="154"/>
      <c r="D38" s="152"/>
    </row>
    <row r="39" spans="1:4" ht="12.75" customHeight="1">
      <c r="A39" s="167" t="s">
        <v>33</v>
      </c>
      <c r="B39" s="167"/>
      <c r="C39" s="167"/>
      <c r="D39" s="167"/>
    </row>
    <row r="40" spans="1:4" ht="29.25" customHeight="1">
      <c r="A40" s="9" t="s">
        <v>34</v>
      </c>
      <c r="B40" s="22" t="s">
        <v>77</v>
      </c>
      <c r="C40" s="154">
        <v>3.16</v>
      </c>
      <c r="D40" s="154">
        <f>C40*12*B8</f>
        <v>48617.231999999996</v>
      </c>
    </row>
    <row r="41" spans="1:4" ht="14.25" customHeight="1">
      <c r="A41" s="9" t="s">
        <v>35</v>
      </c>
      <c r="B41" s="22" t="s">
        <v>81</v>
      </c>
      <c r="C41" s="154"/>
      <c r="D41" s="154"/>
    </row>
    <row r="42" spans="1:4" ht="17.25" customHeight="1">
      <c r="A42" s="9" t="s">
        <v>36</v>
      </c>
      <c r="B42" s="22" t="s">
        <v>81</v>
      </c>
      <c r="C42" s="154"/>
      <c r="D42" s="154"/>
    </row>
    <row r="43" spans="1:4" ht="24.75" customHeight="1">
      <c r="A43" s="9" t="s">
        <v>37</v>
      </c>
      <c r="B43" s="22" t="s">
        <v>82</v>
      </c>
      <c r="C43" s="154"/>
      <c r="D43" s="154"/>
    </row>
    <row r="44" spans="1:4" ht="30" customHeight="1">
      <c r="A44" s="9" t="s">
        <v>38</v>
      </c>
      <c r="B44" s="22" t="s">
        <v>82</v>
      </c>
      <c r="C44" s="154"/>
      <c r="D44" s="154"/>
    </row>
    <row r="45" spans="1:4" ht="12.75" customHeight="1">
      <c r="A45" s="95" t="s">
        <v>95</v>
      </c>
      <c r="B45" s="6"/>
      <c r="C45" s="154"/>
      <c r="D45" s="154"/>
    </row>
    <row r="46" spans="1:4" ht="35.25" customHeight="1">
      <c r="A46" s="9" t="s">
        <v>40</v>
      </c>
      <c r="B46" s="22" t="s">
        <v>79</v>
      </c>
      <c r="C46" s="154"/>
      <c r="D46" s="154"/>
    </row>
    <row r="47" spans="1:4" ht="14.25" customHeight="1">
      <c r="A47" s="9" t="s">
        <v>41</v>
      </c>
      <c r="B47" s="22" t="s">
        <v>24</v>
      </c>
      <c r="C47" s="154"/>
      <c r="D47" s="154"/>
    </row>
    <row r="48" spans="1:4" ht="14.25" customHeight="1">
      <c r="A48" s="9" t="s">
        <v>42</v>
      </c>
      <c r="B48" s="23" t="s">
        <v>24</v>
      </c>
      <c r="C48" s="154"/>
      <c r="D48" s="154"/>
    </row>
    <row r="49" spans="1:4" ht="13.5" customHeight="1">
      <c r="A49" s="9" t="s">
        <v>43</v>
      </c>
      <c r="B49" s="23" t="s">
        <v>24</v>
      </c>
      <c r="C49" s="154"/>
      <c r="D49" s="154"/>
    </row>
    <row r="50" spans="1:4" ht="13.5" customHeight="1">
      <c r="A50" s="9" t="s">
        <v>44</v>
      </c>
      <c r="B50" s="21" t="s">
        <v>225</v>
      </c>
      <c r="C50" s="154"/>
      <c r="D50" s="154"/>
    </row>
    <row r="51" spans="1:4" ht="36.75" customHeight="1">
      <c r="A51" s="10" t="s">
        <v>45</v>
      </c>
      <c r="B51" s="22" t="s">
        <v>22</v>
      </c>
      <c r="C51" s="154"/>
      <c r="D51" s="154"/>
    </row>
    <row r="52" spans="1:4">
      <c r="A52" s="167" t="s">
        <v>46</v>
      </c>
      <c r="B52" s="167"/>
      <c r="C52" s="167"/>
      <c r="D52" s="167"/>
    </row>
    <row r="53" spans="1:4" ht="15.75" customHeight="1">
      <c r="A53" s="9" t="s">
        <v>47</v>
      </c>
      <c r="B53" s="22" t="s">
        <v>83</v>
      </c>
      <c r="C53" s="152">
        <v>1.98</v>
      </c>
      <c r="D53" s="154">
        <f>C53*B8*12-124.07</f>
        <v>30338.626</v>
      </c>
    </row>
    <row r="54" spans="1:4" ht="12.75" customHeight="1">
      <c r="A54" s="9" t="s">
        <v>48</v>
      </c>
      <c r="B54" s="22" t="s">
        <v>83</v>
      </c>
      <c r="C54" s="152"/>
      <c r="D54" s="154"/>
    </row>
    <row r="55" spans="1:4" ht="15.75" customHeight="1">
      <c r="A55" s="9" t="s">
        <v>49</v>
      </c>
      <c r="B55" s="22" t="s">
        <v>83</v>
      </c>
      <c r="C55" s="152"/>
      <c r="D55" s="154"/>
    </row>
    <row r="56" spans="1:4" ht="16.5" customHeight="1">
      <c r="A56" s="9" t="s">
        <v>50</v>
      </c>
      <c r="B56" s="22" t="s">
        <v>83</v>
      </c>
      <c r="C56" s="152"/>
      <c r="D56" s="154"/>
    </row>
    <row r="57" spans="1:4" ht="39.75" customHeight="1">
      <c r="A57" s="10" t="s">
        <v>51</v>
      </c>
      <c r="B57" s="22" t="s">
        <v>22</v>
      </c>
      <c r="C57" s="152"/>
      <c r="D57" s="154"/>
    </row>
    <row r="58" spans="1:4" ht="16.5" customHeight="1">
      <c r="A58" s="10" t="s">
        <v>52</v>
      </c>
      <c r="B58" s="23" t="s">
        <v>84</v>
      </c>
      <c r="C58" s="152"/>
      <c r="D58" s="154"/>
    </row>
    <row r="59" spans="1:4">
      <c r="A59" s="157" t="s">
        <v>85</v>
      </c>
      <c r="B59" s="158"/>
      <c r="C59" s="158"/>
      <c r="D59" s="159"/>
    </row>
    <row r="60" spans="1:4" ht="26.25" customHeight="1">
      <c r="A60" s="175" t="s">
        <v>96</v>
      </c>
      <c r="B60" s="177" t="s">
        <v>86</v>
      </c>
      <c r="C60" s="152">
        <v>2.41</v>
      </c>
      <c r="D60" s="154">
        <f>C60*B8*12</f>
        <v>37078.331999999995</v>
      </c>
    </row>
    <row r="61" spans="1:4" ht="13.5" customHeight="1">
      <c r="A61" s="176"/>
      <c r="B61" s="177"/>
      <c r="C61" s="152"/>
      <c r="D61" s="154"/>
    </row>
    <row r="62" spans="1:4" ht="15" customHeight="1">
      <c r="A62" s="157" t="s">
        <v>55</v>
      </c>
      <c r="B62" s="158"/>
      <c r="C62" s="158"/>
      <c r="D62" s="159"/>
    </row>
    <row r="63" spans="1:4" ht="16.5" customHeight="1">
      <c r="A63" s="6" t="s">
        <v>90</v>
      </c>
      <c r="B63" s="21" t="s">
        <v>87</v>
      </c>
      <c r="C63" s="170">
        <v>2.14</v>
      </c>
      <c r="D63" s="172">
        <f>C63*12*B8</f>
        <v>32924.327999999994</v>
      </c>
    </row>
    <row r="64" spans="1:4">
      <c r="A64" s="6" t="s">
        <v>91</v>
      </c>
      <c r="B64" s="21" t="s">
        <v>87</v>
      </c>
      <c r="C64" s="171"/>
      <c r="D64" s="173"/>
    </row>
    <row r="65" spans="1:4" ht="15" customHeight="1">
      <c r="A65" s="6" t="s">
        <v>92</v>
      </c>
      <c r="B65" s="21" t="s">
        <v>87</v>
      </c>
      <c r="C65" s="169"/>
      <c r="D65" s="174"/>
    </row>
    <row r="66" spans="1:4" ht="38.25" customHeight="1">
      <c r="A66" s="6" t="s">
        <v>143</v>
      </c>
      <c r="B66" s="22" t="s">
        <v>22</v>
      </c>
      <c r="C66" s="93">
        <v>4.22</v>
      </c>
      <c r="D66" s="93">
        <f>C66*12*B8</f>
        <v>64925.543999999994</v>
      </c>
    </row>
    <row r="67" spans="1:4">
      <c r="A67" s="95" t="s">
        <v>56</v>
      </c>
      <c r="B67" s="23"/>
      <c r="C67" s="28">
        <f>C66+C63+C60+C53+C40+C36+C29+C25+C18+C13</f>
        <v>19.36</v>
      </c>
      <c r="D67" s="28">
        <f>D66+D63+D60+D53+D40+D36+D29+D25+D18+D13</f>
        <v>297733.40199999994</v>
      </c>
    </row>
    <row r="69" spans="1:4">
      <c r="D69" s="40"/>
    </row>
    <row r="70" spans="1:4">
      <c r="D70" s="40"/>
    </row>
    <row r="71" spans="1:4">
      <c r="D71" s="40"/>
    </row>
    <row r="72" spans="1:4">
      <c r="D72" s="40"/>
    </row>
  </sheetData>
  <mergeCells count="31">
    <mergeCell ref="A35:D35"/>
    <mergeCell ref="B13:B14"/>
    <mergeCell ref="C13:C14"/>
    <mergeCell ref="D13:D14"/>
    <mergeCell ref="C25:C26"/>
    <mergeCell ref="D25:D26"/>
    <mergeCell ref="A27:D27"/>
    <mergeCell ref="A28:D28"/>
    <mergeCell ref="C29:C34"/>
    <mergeCell ref="D29:D34"/>
    <mergeCell ref="A12:D12"/>
    <mergeCell ref="A16:D16"/>
    <mergeCell ref="C18:C23"/>
    <mergeCell ref="D18:D23"/>
    <mergeCell ref="A24:D24"/>
    <mergeCell ref="C53:C58"/>
    <mergeCell ref="D53:D58"/>
    <mergeCell ref="C63:C65"/>
    <mergeCell ref="D63:D65"/>
    <mergeCell ref="A59:D59"/>
    <mergeCell ref="A60:A61"/>
    <mergeCell ref="B60:B61"/>
    <mergeCell ref="C60:C61"/>
    <mergeCell ref="D60:D61"/>
    <mergeCell ref="A62:D62"/>
    <mergeCell ref="C36:C38"/>
    <mergeCell ref="A39:D39"/>
    <mergeCell ref="C40:C51"/>
    <mergeCell ref="D40:D51"/>
    <mergeCell ref="A52:D52"/>
    <mergeCell ref="D36:D3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75"/>
  <sheetViews>
    <sheetView workbookViewId="0">
      <selection activeCell="A74" sqref="A73:A74"/>
    </sheetView>
  </sheetViews>
  <sheetFormatPr defaultRowHeight="15"/>
  <cols>
    <col min="1" max="1" width="90" customWidth="1"/>
    <col min="2" max="2" width="13" customWidth="1"/>
    <col min="3" max="3" width="10" customWidth="1"/>
    <col min="4" max="4" width="12" customWidth="1"/>
    <col min="5" max="5" width="9.140625" hidden="1" customWidth="1"/>
  </cols>
  <sheetData>
    <row r="1" spans="1:5">
      <c r="A1" s="1" t="s">
        <v>0</v>
      </c>
      <c r="B1" s="2"/>
      <c r="C1" s="2"/>
      <c r="D1" s="2" t="s">
        <v>64</v>
      </c>
    </row>
    <row r="2" spans="1:5">
      <c r="A2" s="1" t="s">
        <v>224</v>
      </c>
      <c r="B2" s="2"/>
      <c r="C2" s="2"/>
      <c r="D2" s="2"/>
    </row>
    <row r="3" spans="1:5">
      <c r="A3" s="1" t="s">
        <v>337</v>
      </c>
      <c r="B3" s="2"/>
      <c r="C3" s="2"/>
      <c r="D3" s="2"/>
    </row>
    <row r="4" spans="1:5">
      <c r="A4" s="25" t="s">
        <v>58</v>
      </c>
      <c r="B4" s="2">
        <v>1971</v>
      </c>
      <c r="C4" s="2"/>
      <c r="D4" s="2"/>
    </row>
    <row r="5" spans="1:5">
      <c r="A5" s="25" t="s">
        <v>59</v>
      </c>
      <c r="B5" s="2">
        <v>3</v>
      </c>
      <c r="C5" s="2"/>
      <c r="D5" s="2"/>
    </row>
    <row r="6" spans="1:5">
      <c r="A6" s="25" t="s">
        <v>60</v>
      </c>
      <c r="B6" s="2">
        <v>1</v>
      </c>
      <c r="C6" s="2"/>
      <c r="D6" s="2"/>
    </row>
    <row r="7" spans="1:5">
      <c r="A7" s="25" t="s">
        <v>61</v>
      </c>
      <c r="B7" s="2">
        <v>30</v>
      </c>
      <c r="C7" s="2"/>
      <c r="D7" s="2"/>
    </row>
    <row r="8" spans="1:5">
      <c r="A8" s="25" t="s">
        <v>72</v>
      </c>
      <c r="B8" s="2">
        <v>556.79999999999995</v>
      </c>
      <c r="C8" s="2"/>
      <c r="D8" s="2"/>
      <c r="E8">
        <f>B10+B8</f>
        <v>679.19999999999993</v>
      </c>
    </row>
    <row r="9" spans="1:5">
      <c r="A9" s="25" t="s">
        <v>62</v>
      </c>
      <c r="B9" s="2">
        <v>200.9</v>
      </c>
      <c r="C9" s="2"/>
      <c r="D9" s="2"/>
    </row>
    <row r="10" spans="1:5">
      <c r="A10" s="25" t="s">
        <v>392</v>
      </c>
      <c r="B10" s="2">
        <v>122.4</v>
      </c>
      <c r="C10" s="2"/>
      <c r="D10" s="2"/>
    </row>
    <row r="11" spans="1:5">
      <c r="A11" s="25" t="s">
        <v>73</v>
      </c>
      <c r="B11" s="41" t="s">
        <v>100</v>
      </c>
      <c r="C11" s="2"/>
      <c r="D11" s="2"/>
    </row>
    <row r="12" spans="1:5" ht="36.75">
      <c r="A12" s="94" t="s">
        <v>1</v>
      </c>
      <c r="B12" s="94" t="s">
        <v>2</v>
      </c>
      <c r="C12" s="94" t="s">
        <v>3</v>
      </c>
      <c r="D12" s="94" t="s">
        <v>4</v>
      </c>
    </row>
    <row r="13" spans="1:5">
      <c r="A13" s="157" t="s">
        <v>5</v>
      </c>
      <c r="B13" s="158"/>
      <c r="C13" s="158"/>
      <c r="D13" s="159"/>
    </row>
    <row r="14" spans="1:5" ht="88.5" customHeight="1">
      <c r="A14" s="104" t="s">
        <v>6</v>
      </c>
      <c r="B14" s="160" t="s">
        <v>8</v>
      </c>
      <c r="C14" s="153">
        <v>1.02</v>
      </c>
      <c r="D14" s="163">
        <f>C14*12*E8</f>
        <v>8313.4079999999994</v>
      </c>
    </row>
    <row r="15" spans="1:5" ht="75.75" customHeight="1">
      <c r="A15" s="103" t="s">
        <v>89</v>
      </c>
      <c r="B15" s="161"/>
      <c r="C15" s="162"/>
      <c r="D15" s="164"/>
    </row>
    <row r="16" spans="1:5">
      <c r="A16" s="6" t="s">
        <v>9</v>
      </c>
      <c r="B16" s="94"/>
      <c r="C16" s="26"/>
      <c r="D16" s="30"/>
    </row>
    <row r="17" spans="1:4">
      <c r="A17" s="6" t="s">
        <v>338</v>
      </c>
      <c r="B17" s="94" t="s">
        <v>105</v>
      </c>
      <c r="C17" s="26">
        <v>2.52</v>
      </c>
      <c r="D17" s="30">
        <f>C17*12*E8</f>
        <v>20539.007999999998</v>
      </c>
    </row>
    <row r="18" spans="1:4">
      <c r="A18" s="6" t="s">
        <v>339</v>
      </c>
      <c r="B18" s="94" t="s">
        <v>105</v>
      </c>
      <c r="C18" s="44">
        <v>0.98</v>
      </c>
      <c r="D18" s="30">
        <f>C18*12*E8</f>
        <v>7987.3919999999989</v>
      </c>
    </row>
    <row r="19" spans="1:4">
      <c r="A19" s="165" t="s">
        <v>10</v>
      </c>
      <c r="B19" s="165"/>
      <c r="C19" s="165"/>
      <c r="D19" s="165"/>
    </row>
    <row r="20" spans="1:4" ht="13.5" customHeight="1">
      <c r="A20" s="39" t="s">
        <v>97</v>
      </c>
      <c r="B20" s="95"/>
      <c r="C20" s="95"/>
      <c r="D20" s="95"/>
    </row>
    <row r="21" spans="1:4" ht="13.5" customHeight="1">
      <c r="A21" s="6" t="s">
        <v>11</v>
      </c>
      <c r="B21" s="94" t="s">
        <v>75</v>
      </c>
      <c r="C21" s="152">
        <v>2.16</v>
      </c>
      <c r="D21" s="166">
        <f>C21*E8*12</f>
        <v>17604.863999999998</v>
      </c>
    </row>
    <row r="22" spans="1:4" ht="12.75" customHeight="1">
      <c r="A22" s="6" t="s">
        <v>12</v>
      </c>
      <c r="B22" s="94" t="s">
        <v>75</v>
      </c>
      <c r="C22" s="152"/>
      <c r="D22" s="155"/>
    </row>
    <row r="23" spans="1:4" ht="14.25" customHeight="1">
      <c r="A23" s="6" t="s">
        <v>13</v>
      </c>
      <c r="B23" s="94" t="s">
        <v>75</v>
      </c>
      <c r="C23" s="152"/>
      <c r="D23" s="155"/>
    </row>
    <row r="24" spans="1:4" ht="13.5" customHeight="1">
      <c r="A24" s="6" t="s">
        <v>14</v>
      </c>
      <c r="B24" s="94" t="s">
        <v>76</v>
      </c>
      <c r="C24" s="152"/>
      <c r="D24" s="155"/>
    </row>
    <row r="25" spans="1:4" ht="12.75" customHeight="1">
      <c r="A25" s="39" t="s">
        <v>93</v>
      </c>
      <c r="B25" s="94"/>
      <c r="C25" s="152"/>
      <c r="D25" s="155"/>
    </row>
    <row r="26" spans="1:4" ht="30" customHeight="1">
      <c r="A26" s="6" t="s">
        <v>15</v>
      </c>
      <c r="B26" s="94" t="s">
        <v>94</v>
      </c>
      <c r="C26" s="152"/>
      <c r="D26" s="156"/>
    </row>
    <row r="27" spans="1:4" ht="12.75" customHeight="1">
      <c r="A27" s="157" t="s">
        <v>16</v>
      </c>
      <c r="B27" s="158"/>
      <c r="C27" s="158"/>
      <c r="D27" s="159"/>
    </row>
    <row r="28" spans="1:4" ht="12" customHeight="1">
      <c r="A28" s="7" t="s">
        <v>17</v>
      </c>
      <c r="B28" s="21" t="s">
        <v>78</v>
      </c>
      <c r="C28" s="152">
        <v>0.2</v>
      </c>
      <c r="D28" s="167">
        <f>C28*E8*12</f>
        <v>1630.08</v>
      </c>
    </row>
    <row r="29" spans="1:4" ht="12" customHeight="1">
      <c r="A29" s="7" t="s">
        <v>18</v>
      </c>
      <c r="B29" s="21" t="s">
        <v>77</v>
      </c>
      <c r="C29" s="152"/>
      <c r="D29" s="167"/>
    </row>
    <row r="30" spans="1:4" ht="13.5" customHeight="1">
      <c r="A30" s="157" t="s">
        <v>19</v>
      </c>
      <c r="B30" s="158"/>
      <c r="C30" s="158"/>
      <c r="D30" s="159"/>
    </row>
    <row r="31" spans="1:4">
      <c r="A31" s="167" t="s">
        <v>20</v>
      </c>
      <c r="B31" s="167"/>
      <c r="C31" s="167"/>
      <c r="D31" s="167"/>
    </row>
    <row r="32" spans="1:4" ht="37.5" customHeight="1">
      <c r="A32" s="8" t="s">
        <v>21</v>
      </c>
      <c r="B32" s="22" t="s">
        <v>79</v>
      </c>
      <c r="C32" s="152">
        <v>0.52</v>
      </c>
      <c r="D32" s="154">
        <f>C32*E8*12</f>
        <v>4238.2079999999996</v>
      </c>
    </row>
    <row r="33" spans="1:4" ht="15" customHeight="1">
      <c r="A33" s="9" t="s">
        <v>23</v>
      </c>
      <c r="B33" s="23" t="s">
        <v>80</v>
      </c>
      <c r="C33" s="152"/>
      <c r="D33" s="155"/>
    </row>
    <row r="34" spans="1:4" ht="13.5" customHeight="1">
      <c r="A34" s="9" t="s">
        <v>25</v>
      </c>
      <c r="B34" s="23" t="s">
        <v>80</v>
      </c>
      <c r="C34" s="152"/>
      <c r="D34" s="155"/>
    </row>
    <row r="35" spans="1:4" ht="36" customHeight="1">
      <c r="A35" s="9" t="s">
        <v>26</v>
      </c>
      <c r="B35" s="22" t="s">
        <v>22</v>
      </c>
      <c r="C35" s="152"/>
      <c r="D35" s="155"/>
    </row>
    <row r="36" spans="1:4" ht="14.25" customHeight="1">
      <c r="A36" s="9" t="s">
        <v>27</v>
      </c>
      <c r="B36" s="22" t="s">
        <v>88</v>
      </c>
      <c r="C36" s="152"/>
      <c r="D36" s="155"/>
    </row>
    <row r="37" spans="1:4" ht="33.75" customHeight="1">
      <c r="A37" s="24" t="s">
        <v>28</v>
      </c>
      <c r="B37" s="22" t="s">
        <v>22</v>
      </c>
      <c r="C37" s="153"/>
      <c r="D37" s="156"/>
    </row>
    <row r="38" spans="1:4" ht="11.25" customHeight="1">
      <c r="A38" s="169" t="s">
        <v>29</v>
      </c>
      <c r="B38" s="169"/>
      <c r="C38" s="169"/>
      <c r="D38" s="169"/>
    </row>
    <row r="39" spans="1:4" ht="35.25" customHeight="1">
      <c r="A39" s="9" t="s">
        <v>30</v>
      </c>
      <c r="B39" s="22" t="s">
        <v>22</v>
      </c>
      <c r="C39" s="154">
        <v>0.64</v>
      </c>
      <c r="D39" s="152">
        <f>C39*12*E8</f>
        <v>5216.2559999999994</v>
      </c>
    </row>
    <row r="40" spans="1:4" ht="38.25" customHeight="1">
      <c r="A40" s="9" t="s">
        <v>31</v>
      </c>
      <c r="B40" s="22" t="s">
        <v>22</v>
      </c>
      <c r="C40" s="154"/>
      <c r="D40" s="152"/>
    </row>
    <row r="41" spans="1:4" ht="15" customHeight="1">
      <c r="A41" s="10" t="s">
        <v>32</v>
      </c>
      <c r="B41" s="22" t="s">
        <v>22</v>
      </c>
      <c r="C41" s="154"/>
      <c r="D41" s="152"/>
    </row>
    <row r="42" spans="1:4" ht="12.75" customHeight="1">
      <c r="A42" s="167" t="s">
        <v>33</v>
      </c>
      <c r="B42" s="167"/>
      <c r="C42" s="167"/>
      <c r="D42" s="167"/>
    </row>
    <row r="43" spans="1:4" ht="29.25" customHeight="1">
      <c r="A43" s="9" t="s">
        <v>34</v>
      </c>
      <c r="B43" s="22" t="s">
        <v>77</v>
      </c>
      <c r="C43" s="154">
        <v>1.34</v>
      </c>
      <c r="D43" s="154">
        <f>C43*12*E8</f>
        <v>10921.536</v>
      </c>
    </row>
    <row r="44" spans="1:4" ht="14.25" customHeight="1">
      <c r="A44" s="9" t="s">
        <v>35</v>
      </c>
      <c r="B44" s="22" t="s">
        <v>81</v>
      </c>
      <c r="C44" s="154"/>
      <c r="D44" s="154"/>
    </row>
    <row r="45" spans="1:4" ht="17.25" customHeight="1">
      <c r="A45" s="9" t="s">
        <v>36</v>
      </c>
      <c r="B45" s="22" t="s">
        <v>81</v>
      </c>
      <c r="C45" s="154"/>
      <c r="D45" s="154"/>
    </row>
    <row r="46" spans="1:4" ht="24.75" customHeight="1">
      <c r="A46" s="9" t="s">
        <v>37</v>
      </c>
      <c r="B46" s="22" t="s">
        <v>82</v>
      </c>
      <c r="C46" s="154"/>
      <c r="D46" s="154"/>
    </row>
    <row r="47" spans="1:4" ht="30" customHeight="1">
      <c r="A47" s="9" t="s">
        <v>38</v>
      </c>
      <c r="B47" s="22" t="s">
        <v>82</v>
      </c>
      <c r="C47" s="154"/>
      <c r="D47" s="154"/>
    </row>
    <row r="48" spans="1:4" ht="12.75" customHeight="1">
      <c r="A48" s="95" t="s">
        <v>95</v>
      </c>
      <c r="B48" s="6"/>
      <c r="C48" s="154"/>
      <c r="D48" s="154"/>
    </row>
    <row r="49" spans="1:4" ht="35.25" customHeight="1">
      <c r="A49" s="9" t="s">
        <v>40</v>
      </c>
      <c r="B49" s="22" t="s">
        <v>79</v>
      </c>
      <c r="C49" s="154"/>
      <c r="D49" s="154"/>
    </row>
    <row r="50" spans="1:4" ht="14.25" customHeight="1">
      <c r="A50" s="9" t="s">
        <v>41</v>
      </c>
      <c r="B50" s="22" t="s">
        <v>24</v>
      </c>
      <c r="C50" s="154"/>
      <c r="D50" s="154"/>
    </row>
    <row r="51" spans="1:4" ht="14.25" customHeight="1">
      <c r="A51" s="9" t="s">
        <v>42</v>
      </c>
      <c r="B51" s="23" t="s">
        <v>24</v>
      </c>
      <c r="C51" s="154"/>
      <c r="D51" s="154"/>
    </row>
    <row r="52" spans="1:4" ht="13.5" customHeight="1">
      <c r="A52" s="9" t="s">
        <v>43</v>
      </c>
      <c r="B52" s="23" t="s">
        <v>24</v>
      </c>
      <c r="C52" s="154"/>
      <c r="D52" s="154"/>
    </row>
    <row r="53" spans="1:4" ht="13.5" customHeight="1">
      <c r="A53" s="9" t="s">
        <v>44</v>
      </c>
      <c r="B53" s="21" t="s">
        <v>225</v>
      </c>
      <c r="C53" s="154"/>
      <c r="D53" s="154"/>
    </row>
    <row r="54" spans="1:4" ht="36.75" customHeight="1">
      <c r="A54" s="10" t="s">
        <v>45</v>
      </c>
      <c r="B54" s="22" t="s">
        <v>22</v>
      </c>
      <c r="C54" s="154"/>
      <c r="D54" s="154"/>
    </row>
    <row r="55" spans="1:4">
      <c r="A55" s="167" t="s">
        <v>46</v>
      </c>
      <c r="B55" s="167"/>
      <c r="C55" s="167"/>
      <c r="D55" s="167"/>
    </row>
    <row r="56" spans="1:4" ht="15.75" customHeight="1">
      <c r="A56" s="9" t="s">
        <v>47</v>
      </c>
      <c r="B56" s="22" t="s">
        <v>83</v>
      </c>
      <c r="C56" s="152">
        <f>1.54-0.33</f>
        <v>1.21</v>
      </c>
      <c r="D56" s="154">
        <f>C56*E8*12</f>
        <v>9861.9839999999986</v>
      </c>
    </row>
    <row r="57" spans="1:4" ht="12.75" customHeight="1">
      <c r="A57" s="9" t="s">
        <v>48</v>
      </c>
      <c r="B57" s="22" t="s">
        <v>83</v>
      </c>
      <c r="C57" s="152"/>
      <c r="D57" s="154"/>
    </row>
    <row r="58" spans="1:4" ht="15.75" customHeight="1">
      <c r="A58" s="9" t="s">
        <v>49</v>
      </c>
      <c r="B58" s="22" t="s">
        <v>83</v>
      </c>
      <c r="C58" s="152"/>
      <c r="D58" s="154"/>
    </row>
    <row r="59" spans="1:4" ht="16.5" customHeight="1">
      <c r="A59" s="9" t="s">
        <v>50</v>
      </c>
      <c r="B59" s="22" t="s">
        <v>83</v>
      </c>
      <c r="C59" s="152"/>
      <c r="D59" s="154"/>
    </row>
    <row r="60" spans="1:4" ht="39.75" customHeight="1">
      <c r="A60" s="10" t="s">
        <v>51</v>
      </c>
      <c r="B60" s="22" t="s">
        <v>22</v>
      </c>
      <c r="C60" s="152"/>
      <c r="D60" s="154"/>
    </row>
    <row r="61" spans="1:4" ht="16.5" customHeight="1">
      <c r="A61" s="10" t="s">
        <v>52</v>
      </c>
      <c r="B61" s="23" t="s">
        <v>84</v>
      </c>
      <c r="C61" s="152"/>
      <c r="D61" s="154"/>
    </row>
    <row r="62" spans="1:4">
      <c r="A62" s="157" t="s">
        <v>85</v>
      </c>
      <c r="B62" s="158"/>
      <c r="C62" s="158"/>
      <c r="D62" s="159"/>
    </row>
    <row r="63" spans="1:4" ht="26.25" customHeight="1">
      <c r="A63" s="175" t="s">
        <v>96</v>
      </c>
      <c r="B63" s="177" t="s">
        <v>86</v>
      </c>
      <c r="C63" s="152">
        <v>2.41</v>
      </c>
      <c r="D63" s="154">
        <f>C63*E8*12</f>
        <v>19642.464</v>
      </c>
    </row>
    <row r="64" spans="1:4" ht="13.5" customHeight="1">
      <c r="A64" s="176"/>
      <c r="B64" s="177"/>
      <c r="C64" s="152"/>
      <c r="D64" s="154"/>
    </row>
    <row r="65" spans="1:4" ht="15" customHeight="1">
      <c r="A65" s="157" t="s">
        <v>55</v>
      </c>
      <c r="B65" s="158"/>
      <c r="C65" s="158"/>
      <c r="D65" s="159"/>
    </row>
    <row r="66" spans="1:4" ht="16.5" customHeight="1">
      <c r="A66" s="6" t="s">
        <v>90</v>
      </c>
      <c r="B66" s="21" t="s">
        <v>87</v>
      </c>
      <c r="C66" s="170">
        <v>2.14</v>
      </c>
      <c r="D66" s="172">
        <f>C66*12*E8</f>
        <v>17441.856</v>
      </c>
    </row>
    <row r="67" spans="1:4">
      <c r="A67" s="6" t="s">
        <v>91</v>
      </c>
      <c r="B67" s="21" t="s">
        <v>87</v>
      </c>
      <c r="C67" s="171"/>
      <c r="D67" s="173"/>
    </row>
    <row r="68" spans="1:4" ht="15" customHeight="1">
      <c r="A68" s="6" t="s">
        <v>92</v>
      </c>
      <c r="B68" s="21" t="s">
        <v>87</v>
      </c>
      <c r="C68" s="169"/>
      <c r="D68" s="174"/>
    </row>
    <row r="69" spans="1:4" ht="38.25" customHeight="1">
      <c r="A69" s="6" t="s">
        <v>143</v>
      </c>
      <c r="B69" s="22" t="s">
        <v>22</v>
      </c>
      <c r="C69" s="93">
        <v>4.22</v>
      </c>
      <c r="D69" s="93">
        <f>C69*12*E8</f>
        <v>34394.687999999995</v>
      </c>
    </row>
    <row r="70" spans="1:4">
      <c r="A70" s="95" t="s">
        <v>56</v>
      </c>
      <c r="B70" s="23"/>
      <c r="C70" s="28">
        <f>C69+C66+C63+C56+C43+C39+C32+C28+C21+C18+C17+C14</f>
        <v>19.36</v>
      </c>
      <c r="D70" s="28">
        <f>D69+D66+D63+D56+D43+D39+D32+D28+D21+D18+D17+D14</f>
        <v>157791.74399999998</v>
      </c>
    </row>
    <row r="72" spans="1:4">
      <c r="D72" s="40"/>
    </row>
    <row r="73" spans="1:4">
      <c r="D73" s="40"/>
    </row>
    <row r="74" spans="1:4">
      <c r="D74" s="40"/>
    </row>
    <row r="75" spans="1:4">
      <c r="D75" s="40"/>
    </row>
  </sheetData>
  <mergeCells count="31">
    <mergeCell ref="A38:D38"/>
    <mergeCell ref="B14:B15"/>
    <mergeCell ref="C14:C15"/>
    <mergeCell ref="D14:D15"/>
    <mergeCell ref="C28:C29"/>
    <mergeCell ref="D28:D29"/>
    <mergeCell ref="A30:D30"/>
    <mergeCell ref="A31:D31"/>
    <mergeCell ref="C32:C37"/>
    <mergeCell ref="D32:D37"/>
    <mergeCell ref="A13:D13"/>
    <mergeCell ref="A19:D19"/>
    <mergeCell ref="C21:C26"/>
    <mergeCell ref="D21:D26"/>
    <mergeCell ref="A27:D27"/>
    <mergeCell ref="C56:C61"/>
    <mergeCell ref="D56:D61"/>
    <mergeCell ref="C66:C68"/>
    <mergeCell ref="D66:D68"/>
    <mergeCell ref="A62:D62"/>
    <mergeCell ref="A63:A64"/>
    <mergeCell ref="B63:B64"/>
    <mergeCell ref="C63:C64"/>
    <mergeCell ref="D63:D64"/>
    <mergeCell ref="A65:D65"/>
    <mergeCell ref="C39:C41"/>
    <mergeCell ref="A42:D42"/>
    <mergeCell ref="C43:C54"/>
    <mergeCell ref="D43:D54"/>
    <mergeCell ref="A55:D55"/>
    <mergeCell ref="D39:D4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81"/>
  <sheetViews>
    <sheetView topLeftCell="A13" workbookViewId="0">
      <selection activeCell="A79" sqref="A79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221</v>
      </c>
      <c r="B2" s="2"/>
      <c r="C2" s="2"/>
      <c r="D2" s="2"/>
    </row>
    <row r="3" spans="1:4">
      <c r="A3" s="1" t="s">
        <v>268</v>
      </c>
      <c r="B3" s="2"/>
      <c r="C3" s="2"/>
      <c r="D3" s="2"/>
    </row>
    <row r="4" spans="1:4">
      <c r="A4" s="25" t="s">
        <v>58</v>
      </c>
      <c r="B4" s="2">
        <v>1994</v>
      </c>
      <c r="C4" s="2"/>
      <c r="D4" s="2"/>
    </row>
    <row r="5" spans="1:4">
      <c r="A5" s="25" t="s">
        <v>59</v>
      </c>
      <c r="B5" s="2">
        <v>3</v>
      </c>
      <c r="C5" s="2"/>
      <c r="D5" s="2"/>
    </row>
    <row r="6" spans="1:4">
      <c r="A6" s="25" t="s">
        <v>60</v>
      </c>
      <c r="B6" s="2">
        <v>3</v>
      </c>
      <c r="C6" s="2"/>
      <c r="D6" s="2"/>
    </row>
    <row r="7" spans="1:4">
      <c r="A7" s="25" t="s">
        <v>61</v>
      </c>
      <c r="B7" s="2">
        <v>27</v>
      </c>
      <c r="C7" s="2"/>
      <c r="D7" s="2"/>
    </row>
    <row r="8" spans="1:4">
      <c r="A8" s="25" t="s">
        <v>72</v>
      </c>
      <c r="B8" s="2">
        <v>1713.3</v>
      </c>
      <c r="C8" s="2"/>
      <c r="D8" s="2"/>
    </row>
    <row r="9" spans="1:4">
      <c r="A9" s="25" t="s">
        <v>62</v>
      </c>
      <c r="B9" s="2">
        <v>178.8</v>
      </c>
      <c r="C9" s="2"/>
      <c r="D9" s="2"/>
    </row>
    <row r="10" spans="1:4">
      <c r="A10" s="25" t="s">
        <v>73</v>
      </c>
      <c r="B10" s="46">
        <v>448.6</v>
      </c>
      <c r="C10" s="2"/>
      <c r="D10" s="2"/>
    </row>
    <row r="11" spans="1:4" ht="36.75">
      <c r="A11" s="94" t="s">
        <v>1</v>
      </c>
      <c r="B11" s="94" t="s">
        <v>2</v>
      </c>
      <c r="C11" s="94" t="s">
        <v>3</v>
      </c>
      <c r="D11" s="94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1.02</v>
      </c>
      <c r="D13" s="163">
        <f>C13*12*B8</f>
        <v>20970.792000000001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6" t="s">
        <v>9</v>
      </c>
      <c r="B15" s="94"/>
      <c r="C15" s="26"/>
      <c r="D15" s="30"/>
    </row>
    <row r="16" spans="1:4">
      <c r="A16" s="6" t="s">
        <v>309</v>
      </c>
      <c r="B16" s="141" t="s">
        <v>80</v>
      </c>
      <c r="C16" s="26">
        <v>0.56000000000000005</v>
      </c>
      <c r="D16" s="30">
        <f>C16*12*B8</f>
        <v>11513.376</v>
      </c>
    </row>
    <row r="17" spans="1:4">
      <c r="A17" s="6" t="s">
        <v>366</v>
      </c>
      <c r="B17" s="94" t="s">
        <v>80</v>
      </c>
      <c r="C17" s="26">
        <v>0.38</v>
      </c>
      <c r="D17" s="30">
        <f>C17*12*B8</f>
        <v>7812.648000000001</v>
      </c>
    </row>
    <row r="18" spans="1:4" ht="13.5" customHeight="1">
      <c r="A18" s="39" t="s">
        <v>97</v>
      </c>
      <c r="B18" s="95"/>
      <c r="C18" s="95"/>
      <c r="D18" s="95"/>
    </row>
    <row r="19" spans="1:4" ht="13.5" customHeight="1">
      <c r="A19" s="6" t="s">
        <v>11</v>
      </c>
      <c r="B19" s="94" t="s">
        <v>75</v>
      </c>
      <c r="C19" s="152">
        <v>2.16</v>
      </c>
      <c r="D19" s="166">
        <f>C19*12*B8</f>
        <v>44408.736000000004</v>
      </c>
    </row>
    <row r="20" spans="1:4" ht="12.75" customHeight="1">
      <c r="A20" s="6" t="s">
        <v>12</v>
      </c>
      <c r="B20" s="94" t="s">
        <v>75</v>
      </c>
      <c r="C20" s="152"/>
      <c r="D20" s="155"/>
    </row>
    <row r="21" spans="1:4" ht="14.25" customHeight="1">
      <c r="A21" s="6" t="s">
        <v>13</v>
      </c>
      <c r="B21" s="94" t="s">
        <v>75</v>
      </c>
      <c r="C21" s="152"/>
      <c r="D21" s="155"/>
    </row>
    <row r="22" spans="1:4" ht="13.5" customHeight="1">
      <c r="A22" s="6" t="s">
        <v>14</v>
      </c>
      <c r="B22" s="94" t="s">
        <v>76</v>
      </c>
      <c r="C22" s="152"/>
      <c r="D22" s="155"/>
    </row>
    <row r="23" spans="1:4" ht="12.75" customHeight="1">
      <c r="A23" s="39" t="s">
        <v>93</v>
      </c>
      <c r="B23" s="94"/>
      <c r="C23" s="152"/>
      <c r="D23" s="155"/>
    </row>
    <row r="24" spans="1:4" ht="30" customHeight="1">
      <c r="A24" s="6" t="s">
        <v>15</v>
      </c>
      <c r="B24" s="94" t="s">
        <v>94</v>
      </c>
      <c r="C24" s="152"/>
      <c r="D24" s="156"/>
    </row>
    <row r="25" spans="1:4" ht="12.75" customHeight="1">
      <c r="A25" s="157" t="s">
        <v>16</v>
      </c>
      <c r="B25" s="158"/>
      <c r="C25" s="158"/>
      <c r="D25" s="159"/>
    </row>
    <row r="26" spans="1:4" ht="12" customHeight="1">
      <c r="A26" s="7" t="s">
        <v>17</v>
      </c>
      <c r="B26" s="21" t="s">
        <v>78</v>
      </c>
      <c r="C26" s="152">
        <v>0.2</v>
      </c>
      <c r="D26" s="167">
        <f>C26*B8*12</f>
        <v>4111.92</v>
      </c>
    </row>
    <row r="27" spans="1:4" ht="12" customHeight="1">
      <c r="A27" s="7" t="s">
        <v>18</v>
      </c>
      <c r="B27" s="21" t="s">
        <v>77</v>
      </c>
      <c r="C27" s="152"/>
      <c r="D27" s="167"/>
    </row>
    <row r="28" spans="1:4" ht="13.5" customHeight="1">
      <c r="A28" s="157" t="s">
        <v>19</v>
      </c>
      <c r="B28" s="158"/>
      <c r="C28" s="158"/>
      <c r="D28" s="159"/>
    </row>
    <row r="29" spans="1:4">
      <c r="A29" s="167" t="s">
        <v>20</v>
      </c>
      <c r="B29" s="167"/>
      <c r="C29" s="167"/>
      <c r="D29" s="167"/>
    </row>
    <row r="30" spans="1:4" ht="37.5" customHeight="1">
      <c r="A30" s="8" t="s">
        <v>21</v>
      </c>
      <c r="B30" s="22" t="s">
        <v>79</v>
      </c>
      <c r="C30" s="152">
        <v>0.61</v>
      </c>
      <c r="D30" s="154">
        <f>C30*B8*12</f>
        <v>12541.356</v>
      </c>
    </row>
    <row r="31" spans="1:4" ht="15" customHeight="1">
      <c r="A31" s="9" t="s">
        <v>23</v>
      </c>
      <c r="B31" s="23" t="s">
        <v>80</v>
      </c>
      <c r="C31" s="152"/>
      <c r="D31" s="155"/>
    </row>
    <row r="32" spans="1:4" ht="13.5" customHeight="1">
      <c r="A32" s="9" t="s">
        <v>25</v>
      </c>
      <c r="B32" s="23" t="s">
        <v>80</v>
      </c>
      <c r="C32" s="152"/>
      <c r="D32" s="155"/>
    </row>
    <row r="33" spans="1:4" ht="36" customHeight="1">
      <c r="A33" s="9" t="s">
        <v>26</v>
      </c>
      <c r="B33" s="22" t="s">
        <v>22</v>
      </c>
      <c r="C33" s="152"/>
      <c r="D33" s="155"/>
    </row>
    <row r="34" spans="1:4" ht="14.25" customHeight="1">
      <c r="A34" s="9" t="s">
        <v>27</v>
      </c>
      <c r="B34" s="22" t="s">
        <v>24</v>
      </c>
      <c r="C34" s="152"/>
      <c r="D34" s="155"/>
    </row>
    <row r="35" spans="1:4" ht="33.75" customHeight="1">
      <c r="A35" s="24" t="s">
        <v>28</v>
      </c>
      <c r="B35" s="22" t="s">
        <v>22</v>
      </c>
      <c r="C35" s="153"/>
      <c r="D35" s="156"/>
    </row>
    <row r="36" spans="1:4" ht="15.75" customHeight="1">
      <c r="A36" s="167" t="s">
        <v>65</v>
      </c>
      <c r="B36" s="167"/>
      <c r="C36" s="167"/>
      <c r="D36" s="167"/>
    </row>
    <row r="37" spans="1:4" ht="36.75" customHeight="1">
      <c r="A37" s="9" t="s">
        <v>66</v>
      </c>
      <c r="B37" s="22" t="s">
        <v>79</v>
      </c>
      <c r="C37" s="154">
        <v>1</v>
      </c>
      <c r="D37" s="152">
        <f>C37*B8*12</f>
        <v>20559.599999999999</v>
      </c>
    </row>
    <row r="38" spans="1:4" ht="14.25" customHeight="1">
      <c r="A38" s="9" t="s">
        <v>67</v>
      </c>
      <c r="B38" s="22" t="s">
        <v>80</v>
      </c>
      <c r="C38" s="154"/>
      <c r="D38" s="168"/>
    </row>
    <row r="39" spans="1:4" ht="14.25" customHeight="1">
      <c r="A39" s="9" t="s">
        <v>68</v>
      </c>
      <c r="B39" s="22" t="s">
        <v>80</v>
      </c>
      <c r="C39" s="154"/>
      <c r="D39" s="168"/>
    </row>
    <row r="40" spans="1:4" ht="24" customHeight="1">
      <c r="A40" s="9" t="s">
        <v>69</v>
      </c>
      <c r="B40" s="22" t="s">
        <v>79</v>
      </c>
      <c r="C40" s="154"/>
      <c r="D40" s="168"/>
    </row>
    <row r="41" spans="1:4" ht="25.5" customHeight="1">
      <c r="A41" s="10" t="s">
        <v>70</v>
      </c>
      <c r="B41" s="22" t="s">
        <v>79</v>
      </c>
      <c r="C41" s="154"/>
      <c r="D41" s="168"/>
    </row>
    <row r="42" spans="1:4" ht="14.25" customHeight="1">
      <c r="A42" s="9" t="s">
        <v>71</v>
      </c>
      <c r="B42" s="22" t="s">
        <v>24</v>
      </c>
      <c r="C42" s="154"/>
      <c r="D42" s="162"/>
    </row>
    <row r="43" spans="1:4" ht="11.25" customHeight="1">
      <c r="A43" s="169" t="s">
        <v>29</v>
      </c>
      <c r="B43" s="169"/>
      <c r="C43" s="169"/>
      <c r="D43" s="169"/>
    </row>
    <row r="44" spans="1:4" ht="35.25" customHeight="1">
      <c r="A44" s="9" t="s">
        <v>30</v>
      </c>
      <c r="B44" s="22" t="s">
        <v>22</v>
      </c>
      <c r="C44" s="154">
        <v>2</v>
      </c>
      <c r="D44" s="152">
        <f>C44*12*B8</f>
        <v>41119.199999999997</v>
      </c>
    </row>
    <row r="45" spans="1:4" ht="38.25" customHeight="1">
      <c r="A45" s="9" t="s">
        <v>31</v>
      </c>
      <c r="B45" s="22" t="s">
        <v>22</v>
      </c>
      <c r="C45" s="154"/>
      <c r="D45" s="152"/>
    </row>
    <row r="46" spans="1:4" ht="15" customHeight="1">
      <c r="A46" s="10" t="s">
        <v>32</v>
      </c>
      <c r="B46" s="22" t="s">
        <v>22</v>
      </c>
      <c r="C46" s="154"/>
      <c r="D46" s="152"/>
    </row>
    <row r="47" spans="1:4" ht="12.75" customHeight="1">
      <c r="A47" s="167" t="s">
        <v>33</v>
      </c>
      <c r="B47" s="167"/>
      <c r="C47" s="167"/>
      <c r="D47" s="167"/>
    </row>
    <row r="48" spans="1:4" ht="29.25" customHeight="1">
      <c r="A48" s="9" t="s">
        <v>34</v>
      </c>
      <c r="B48" s="22" t="s">
        <v>77</v>
      </c>
      <c r="C48" s="154">
        <v>2.62</v>
      </c>
      <c r="D48" s="154">
        <f>C48*12*B8</f>
        <v>53866.152000000002</v>
      </c>
    </row>
    <row r="49" spans="1:4" ht="14.25" customHeight="1">
      <c r="A49" s="9" t="s">
        <v>35</v>
      </c>
      <c r="B49" s="22" t="s">
        <v>81</v>
      </c>
      <c r="C49" s="154"/>
      <c r="D49" s="154"/>
    </row>
    <row r="50" spans="1:4" ht="17.25" customHeight="1">
      <c r="A50" s="9" t="s">
        <v>36</v>
      </c>
      <c r="B50" s="22" t="s">
        <v>81</v>
      </c>
      <c r="C50" s="154"/>
      <c r="D50" s="154"/>
    </row>
    <row r="51" spans="1:4" ht="24.75" customHeight="1">
      <c r="A51" s="9" t="s">
        <v>37</v>
      </c>
      <c r="B51" s="22" t="s">
        <v>82</v>
      </c>
      <c r="C51" s="154"/>
      <c r="D51" s="154"/>
    </row>
    <row r="52" spans="1:4" ht="30" customHeight="1">
      <c r="A52" s="9" t="s">
        <v>38</v>
      </c>
      <c r="B52" s="22" t="s">
        <v>82</v>
      </c>
      <c r="C52" s="154"/>
      <c r="D52" s="154"/>
    </row>
    <row r="53" spans="1:4" ht="12.75" customHeight="1">
      <c r="A53" s="95" t="s">
        <v>95</v>
      </c>
      <c r="B53" s="6"/>
      <c r="C53" s="154"/>
      <c r="D53" s="154"/>
    </row>
    <row r="54" spans="1:4" ht="35.25" customHeight="1">
      <c r="A54" s="9" t="s">
        <v>40</v>
      </c>
      <c r="B54" s="22" t="s">
        <v>79</v>
      </c>
      <c r="C54" s="154"/>
      <c r="D54" s="154"/>
    </row>
    <row r="55" spans="1:4" ht="14.25" customHeight="1">
      <c r="A55" s="9" t="s">
        <v>41</v>
      </c>
      <c r="B55" s="22" t="s">
        <v>80</v>
      </c>
      <c r="C55" s="154"/>
      <c r="D55" s="154"/>
    </row>
    <row r="56" spans="1:4" ht="14.25" customHeight="1">
      <c r="A56" s="9" t="s">
        <v>42</v>
      </c>
      <c r="B56" s="23" t="s">
        <v>80</v>
      </c>
      <c r="C56" s="154"/>
      <c r="D56" s="154"/>
    </row>
    <row r="57" spans="1:4" ht="13.5" customHeight="1">
      <c r="A57" s="9" t="s">
        <v>43</v>
      </c>
      <c r="B57" s="23" t="s">
        <v>80</v>
      </c>
      <c r="C57" s="154"/>
      <c r="D57" s="154"/>
    </row>
    <row r="58" spans="1:4" ht="13.5" customHeight="1">
      <c r="A58" s="9" t="s">
        <v>44</v>
      </c>
      <c r="B58" s="21" t="s">
        <v>222</v>
      </c>
      <c r="C58" s="154"/>
      <c r="D58" s="154"/>
    </row>
    <row r="59" spans="1:4" ht="36.75" customHeight="1">
      <c r="A59" s="10" t="s">
        <v>45</v>
      </c>
      <c r="B59" s="22" t="s">
        <v>22</v>
      </c>
      <c r="C59" s="154"/>
      <c r="D59" s="154"/>
    </row>
    <row r="60" spans="1:4">
      <c r="A60" s="167" t="s">
        <v>46</v>
      </c>
      <c r="B60" s="167"/>
      <c r="C60" s="167"/>
      <c r="D60" s="167"/>
    </row>
    <row r="61" spans="1:4" ht="15.75" customHeight="1">
      <c r="A61" s="9" t="s">
        <v>47</v>
      </c>
      <c r="B61" s="22" t="s">
        <v>83</v>
      </c>
      <c r="C61" s="153">
        <v>2.17</v>
      </c>
      <c r="D61" s="166">
        <f>C61*B8*12+3.23</f>
        <v>44617.561999999998</v>
      </c>
    </row>
    <row r="62" spans="1:4" ht="12.75" customHeight="1">
      <c r="A62" s="9" t="s">
        <v>48</v>
      </c>
      <c r="B62" s="22" t="s">
        <v>83</v>
      </c>
      <c r="C62" s="168"/>
      <c r="D62" s="155"/>
    </row>
    <row r="63" spans="1:4" ht="15.75" customHeight="1">
      <c r="A63" s="9" t="s">
        <v>49</v>
      </c>
      <c r="B63" s="22" t="s">
        <v>83</v>
      </c>
      <c r="C63" s="168"/>
      <c r="D63" s="155"/>
    </row>
    <row r="64" spans="1:4" ht="16.5" customHeight="1">
      <c r="A64" s="9" t="s">
        <v>50</v>
      </c>
      <c r="B64" s="22" t="s">
        <v>83</v>
      </c>
      <c r="C64" s="168"/>
      <c r="D64" s="155"/>
    </row>
    <row r="65" spans="1:4" ht="36.75" customHeight="1">
      <c r="A65" s="10" t="s">
        <v>51</v>
      </c>
      <c r="B65" s="22" t="s">
        <v>22</v>
      </c>
      <c r="C65" s="168"/>
      <c r="D65" s="155"/>
    </row>
    <row r="66" spans="1:4" ht="16.5" customHeight="1">
      <c r="A66" s="10" t="s">
        <v>52</v>
      </c>
      <c r="B66" s="23" t="s">
        <v>84</v>
      </c>
      <c r="C66" s="162"/>
      <c r="D66" s="156"/>
    </row>
    <row r="67" spans="1:4">
      <c r="A67" s="157" t="s">
        <v>85</v>
      </c>
      <c r="B67" s="158"/>
      <c r="C67" s="158"/>
      <c r="D67" s="159"/>
    </row>
    <row r="68" spans="1:4" ht="26.25" customHeight="1">
      <c r="A68" s="175" t="s">
        <v>96</v>
      </c>
      <c r="B68" s="177" t="s">
        <v>86</v>
      </c>
      <c r="C68" s="152">
        <v>2.41</v>
      </c>
      <c r="D68" s="154">
        <f>C68*B8*12</f>
        <v>49548.635999999999</v>
      </c>
    </row>
    <row r="69" spans="1:4" ht="3.75" customHeight="1">
      <c r="A69" s="176"/>
      <c r="B69" s="177"/>
      <c r="C69" s="152"/>
      <c r="D69" s="154"/>
    </row>
    <row r="70" spans="1:4" ht="15" customHeight="1">
      <c r="A70" s="157" t="s">
        <v>55</v>
      </c>
      <c r="B70" s="158"/>
      <c r="C70" s="158"/>
      <c r="D70" s="159"/>
    </row>
    <row r="71" spans="1:4" ht="16.5" customHeight="1">
      <c r="A71" s="6" t="s">
        <v>90</v>
      </c>
      <c r="B71" s="21" t="s">
        <v>87</v>
      </c>
      <c r="C71" s="170">
        <v>2.14</v>
      </c>
      <c r="D71" s="172">
        <f>C71*12*B8</f>
        <v>43997.544000000002</v>
      </c>
    </row>
    <row r="72" spans="1:4">
      <c r="A72" s="6" t="s">
        <v>91</v>
      </c>
      <c r="B72" s="21" t="s">
        <v>87</v>
      </c>
      <c r="C72" s="171"/>
      <c r="D72" s="173"/>
    </row>
    <row r="73" spans="1:4" ht="15" customHeight="1">
      <c r="A73" s="6" t="s">
        <v>92</v>
      </c>
      <c r="B73" s="21" t="s">
        <v>87</v>
      </c>
      <c r="C73" s="169"/>
      <c r="D73" s="174"/>
    </row>
    <row r="74" spans="1:4" ht="38.25" customHeight="1">
      <c r="A74" s="6" t="s">
        <v>143</v>
      </c>
      <c r="B74" s="22" t="s">
        <v>22</v>
      </c>
      <c r="C74" s="93">
        <v>4.3499999999999996</v>
      </c>
      <c r="D74" s="93">
        <v>86408.78</v>
      </c>
    </row>
    <row r="75" spans="1:4" ht="18" customHeight="1">
      <c r="A75" s="6" t="s">
        <v>223</v>
      </c>
      <c r="B75" s="22"/>
      <c r="C75" s="93"/>
      <c r="D75" s="93">
        <f>-58*15.13*12</f>
        <v>-10530.480000000001</v>
      </c>
    </row>
    <row r="76" spans="1:4">
      <c r="A76" s="95" t="s">
        <v>56</v>
      </c>
      <c r="B76" s="23"/>
      <c r="C76" s="28">
        <f>C74+C71+C68+C61+C48+C44+C37+C30+C26+C19+C17+C16+C13</f>
        <v>21.619999999999997</v>
      </c>
      <c r="D76" s="28">
        <f>D74+D71+D68+D61+D48+D44+D37+D30+D26+D19+D17+D16+D13+D75</f>
        <v>430945.82199999993</v>
      </c>
    </row>
    <row r="77" spans="1:4">
      <c r="C77" t="s">
        <v>201</v>
      </c>
    </row>
    <row r="78" spans="1:4">
      <c r="D78" s="40"/>
    </row>
    <row r="79" spans="1:4">
      <c r="D79" s="40"/>
    </row>
    <row r="80" spans="1:4">
      <c r="D80" s="40"/>
    </row>
    <row r="81" spans="4:4">
      <c r="D81" s="40"/>
    </row>
  </sheetData>
  <mergeCells count="33">
    <mergeCell ref="C37:C42"/>
    <mergeCell ref="D37:D42"/>
    <mergeCell ref="A12:D12"/>
    <mergeCell ref="C19:C24"/>
    <mergeCell ref="D19:D24"/>
    <mergeCell ref="A25:D25"/>
    <mergeCell ref="C26:C27"/>
    <mergeCell ref="D26:D27"/>
    <mergeCell ref="A28:D28"/>
    <mergeCell ref="A29:D29"/>
    <mergeCell ref="C30:C35"/>
    <mergeCell ref="D30:D35"/>
    <mergeCell ref="A36:D36"/>
    <mergeCell ref="B13:B14"/>
    <mergeCell ref="C13:C14"/>
    <mergeCell ref="D13:D14"/>
    <mergeCell ref="A43:D43"/>
    <mergeCell ref="C44:C46"/>
    <mergeCell ref="D44:D46"/>
    <mergeCell ref="A47:D47"/>
    <mergeCell ref="C48:C59"/>
    <mergeCell ref="D48:D59"/>
    <mergeCell ref="A70:D70"/>
    <mergeCell ref="C71:C73"/>
    <mergeCell ref="D71:D73"/>
    <mergeCell ref="A60:D60"/>
    <mergeCell ref="A68:A69"/>
    <mergeCell ref="B68:B69"/>
    <mergeCell ref="C68:C69"/>
    <mergeCell ref="D68:D69"/>
    <mergeCell ref="A67:D67"/>
    <mergeCell ref="C61:C66"/>
    <mergeCell ref="D61:D6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81"/>
  <sheetViews>
    <sheetView topLeftCell="A13" workbookViewId="0">
      <selection activeCell="G34" sqref="G34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219</v>
      </c>
      <c r="B2" s="2"/>
      <c r="C2" s="2"/>
      <c r="D2" s="2"/>
    </row>
    <row r="3" spans="1:4">
      <c r="A3" s="1" t="s">
        <v>74</v>
      </c>
      <c r="B3" s="2"/>
      <c r="C3" s="2"/>
      <c r="D3" s="2"/>
    </row>
    <row r="4" spans="1:4">
      <c r="A4" s="25" t="s">
        <v>58</v>
      </c>
      <c r="B4" s="2">
        <v>1984</v>
      </c>
      <c r="C4" s="2"/>
      <c r="D4" s="2"/>
    </row>
    <row r="5" spans="1:4">
      <c r="A5" s="25" t="s">
        <v>59</v>
      </c>
      <c r="B5" s="2">
        <v>4</v>
      </c>
      <c r="C5" s="2"/>
      <c r="D5" s="2"/>
    </row>
    <row r="6" spans="1:4">
      <c r="A6" s="25" t="s">
        <v>60</v>
      </c>
      <c r="B6" s="2">
        <v>3</v>
      </c>
      <c r="C6" s="2"/>
      <c r="D6" s="2"/>
    </row>
    <row r="7" spans="1:4">
      <c r="A7" s="25" t="s">
        <v>61</v>
      </c>
      <c r="B7" s="2">
        <v>36</v>
      </c>
      <c r="C7" s="2"/>
      <c r="D7" s="2"/>
    </row>
    <row r="8" spans="1:4">
      <c r="A8" s="25" t="s">
        <v>72</v>
      </c>
      <c r="B8" s="2">
        <v>1694.9</v>
      </c>
      <c r="C8" s="2"/>
      <c r="D8" s="2"/>
    </row>
    <row r="9" spans="1:4">
      <c r="A9" s="25" t="s">
        <v>62</v>
      </c>
      <c r="B9" s="2">
        <v>169</v>
      </c>
      <c r="C9" s="2"/>
      <c r="D9" s="2"/>
    </row>
    <row r="10" spans="1:4">
      <c r="A10" s="25" t="s">
        <v>73</v>
      </c>
      <c r="B10" s="46">
        <v>438.3</v>
      </c>
      <c r="C10" s="2"/>
      <c r="D10" s="2"/>
    </row>
    <row r="11" spans="1:4" ht="36.75">
      <c r="A11" s="94" t="s">
        <v>1</v>
      </c>
      <c r="B11" s="94" t="s">
        <v>2</v>
      </c>
      <c r="C11" s="94" t="s">
        <v>3</v>
      </c>
      <c r="D11" s="94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1.02</v>
      </c>
      <c r="D13" s="163">
        <f>C13*12*B8</f>
        <v>20745.576000000001</v>
      </c>
    </row>
    <row r="14" spans="1:4" ht="75.75" customHeight="1">
      <c r="A14" s="103" t="s">
        <v>89</v>
      </c>
      <c r="B14" s="161"/>
      <c r="C14" s="162"/>
      <c r="D14" s="164"/>
    </row>
    <row r="15" spans="1:4" ht="16.5" customHeight="1">
      <c r="A15" s="6" t="s">
        <v>9</v>
      </c>
      <c r="B15" s="135"/>
      <c r="C15" s="136"/>
      <c r="D15" s="137"/>
    </row>
    <row r="16" spans="1:4">
      <c r="A16" s="6" t="s">
        <v>365</v>
      </c>
      <c r="B16" s="141" t="s">
        <v>80</v>
      </c>
      <c r="C16" s="26">
        <v>3.2</v>
      </c>
      <c r="D16" s="30">
        <f>C16*12*B8</f>
        <v>65084.160000000011</v>
      </c>
    </row>
    <row r="17" spans="1:4" ht="13.5" customHeight="1">
      <c r="A17" s="39" t="s">
        <v>97</v>
      </c>
      <c r="B17" s="138"/>
      <c r="C17" s="152">
        <v>2.16</v>
      </c>
      <c r="D17" s="155">
        <f>C17*12*B8</f>
        <v>43931.808000000005</v>
      </c>
    </row>
    <row r="18" spans="1:4" ht="13.5" customHeight="1">
      <c r="A18" s="6" t="s">
        <v>11</v>
      </c>
      <c r="B18" s="141" t="s">
        <v>75</v>
      </c>
      <c r="C18" s="152"/>
      <c r="D18" s="155"/>
    </row>
    <row r="19" spans="1:4" ht="12.75" customHeight="1">
      <c r="A19" s="6" t="s">
        <v>12</v>
      </c>
      <c r="B19" s="141" t="s">
        <v>75</v>
      </c>
      <c r="C19" s="152"/>
      <c r="D19" s="155"/>
    </row>
    <row r="20" spans="1:4" ht="14.25" customHeight="1">
      <c r="A20" s="6" t="s">
        <v>13</v>
      </c>
      <c r="B20" s="141" t="s">
        <v>75</v>
      </c>
      <c r="C20" s="152"/>
      <c r="D20" s="155"/>
    </row>
    <row r="21" spans="1:4" ht="13.5" customHeight="1">
      <c r="A21" s="6" t="s">
        <v>14</v>
      </c>
      <c r="B21" s="94" t="s">
        <v>76</v>
      </c>
      <c r="C21" s="152"/>
      <c r="D21" s="155"/>
    </row>
    <row r="22" spans="1:4" ht="12.75" customHeight="1">
      <c r="A22" s="39" t="s">
        <v>93</v>
      </c>
      <c r="B22" s="94"/>
      <c r="C22" s="152"/>
      <c r="D22" s="155"/>
    </row>
    <row r="23" spans="1:4" ht="30" customHeight="1">
      <c r="A23" s="6" t="s">
        <v>15</v>
      </c>
      <c r="B23" s="94" t="s">
        <v>94</v>
      </c>
      <c r="C23" s="152"/>
      <c r="D23" s="156"/>
    </row>
    <row r="24" spans="1:4" ht="12.75" customHeight="1">
      <c r="A24" s="157" t="s">
        <v>16</v>
      </c>
      <c r="B24" s="158"/>
      <c r="C24" s="158"/>
      <c r="D24" s="159"/>
    </row>
    <row r="25" spans="1:4" ht="12" customHeight="1">
      <c r="A25" s="7" t="s">
        <v>17</v>
      </c>
      <c r="B25" s="21" t="s">
        <v>78</v>
      </c>
      <c r="C25" s="152">
        <v>0.2</v>
      </c>
      <c r="D25" s="167">
        <f>C25*B8*12</f>
        <v>4067.76</v>
      </c>
    </row>
    <row r="26" spans="1:4" ht="12" customHeight="1">
      <c r="A26" s="7" t="s">
        <v>18</v>
      </c>
      <c r="B26" s="21" t="s">
        <v>77</v>
      </c>
      <c r="C26" s="152"/>
      <c r="D26" s="167"/>
    </row>
    <row r="27" spans="1:4" ht="13.5" customHeight="1">
      <c r="A27" s="157" t="s">
        <v>19</v>
      </c>
      <c r="B27" s="158"/>
      <c r="C27" s="158"/>
      <c r="D27" s="159"/>
    </row>
    <row r="28" spans="1:4">
      <c r="A28" s="167" t="s">
        <v>20</v>
      </c>
      <c r="B28" s="167"/>
      <c r="C28" s="167"/>
      <c r="D28" s="167"/>
    </row>
    <row r="29" spans="1:4" ht="37.5" customHeight="1">
      <c r="A29" s="8" t="s">
        <v>21</v>
      </c>
      <c r="B29" s="22" t="s">
        <v>79</v>
      </c>
      <c r="C29" s="152">
        <v>0.61</v>
      </c>
      <c r="D29" s="154">
        <f>C29*B8*12</f>
        <v>12406.668000000001</v>
      </c>
    </row>
    <row r="30" spans="1:4" ht="15" customHeight="1">
      <c r="A30" s="9" t="s">
        <v>23</v>
      </c>
      <c r="B30" s="23" t="s">
        <v>80</v>
      </c>
      <c r="C30" s="152"/>
      <c r="D30" s="155"/>
    </row>
    <row r="31" spans="1:4" ht="13.5" customHeight="1">
      <c r="A31" s="9" t="s">
        <v>25</v>
      </c>
      <c r="B31" s="23" t="s">
        <v>80</v>
      </c>
      <c r="C31" s="152"/>
      <c r="D31" s="155"/>
    </row>
    <row r="32" spans="1:4" ht="36" customHeight="1">
      <c r="A32" s="9" t="s">
        <v>26</v>
      </c>
      <c r="B32" s="22" t="s">
        <v>22</v>
      </c>
      <c r="C32" s="152"/>
      <c r="D32" s="155"/>
    </row>
    <row r="33" spans="1:4" ht="14.25" customHeight="1">
      <c r="A33" s="9" t="s">
        <v>27</v>
      </c>
      <c r="B33" s="22" t="s">
        <v>24</v>
      </c>
      <c r="C33" s="152"/>
      <c r="D33" s="155"/>
    </row>
    <row r="34" spans="1:4" ht="33.75" customHeight="1">
      <c r="A34" s="24" t="s">
        <v>28</v>
      </c>
      <c r="B34" s="22" t="s">
        <v>22</v>
      </c>
      <c r="C34" s="153"/>
      <c r="D34" s="156"/>
    </row>
    <row r="35" spans="1:4" ht="15.75" customHeight="1">
      <c r="A35" s="167" t="s">
        <v>65</v>
      </c>
      <c r="B35" s="167"/>
      <c r="C35" s="167"/>
      <c r="D35" s="167"/>
    </row>
    <row r="36" spans="1:4" ht="36.75" customHeight="1">
      <c r="A36" s="9" t="s">
        <v>66</v>
      </c>
      <c r="B36" s="22" t="s">
        <v>79</v>
      </c>
      <c r="C36" s="154">
        <v>1</v>
      </c>
      <c r="D36" s="152">
        <f>C36*B8*12</f>
        <v>20338.800000000003</v>
      </c>
    </row>
    <row r="37" spans="1:4" ht="14.25" customHeight="1">
      <c r="A37" s="9" t="s">
        <v>67</v>
      </c>
      <c r="B37" s="22" t="s">
        <v>80</v>
      </c>
      <c r="C37" s="154"/>
      <c r="D37" s="168"/>
    </row>
    <row r="38" spans="1:4" ht="14.25" customHeight="1">
      <c r="A38" s="9" t="s">
        <v>68</v>
      </c>
      <c r="B38" s="22" t="s">
        <v>80</v>
      </c>
      <c r="C38" s="154"/>
      <c r="D38" s="168"/>
    </row>
    <row r="39" spans="1:4" ht="24" customHeight="1">
      <c r="A39" s="9" t="s">
        <v>69</v>
      </c>
      <c r="B39" s="22" t="s">
        <v>79</v>
      </c>
      <c r="C39" s="154"/>
      <c r="D39" s="168"/>
    </row>
    <row r="40" spans="1:4" ht="25.5" customHeight="1">
      <c r="A40" s="10" t="s">
        <v>70</v>
      </c>
      <c r="B40" s="22" t="s">
        <v>79</v>
      </c>
      <c r="C40" s="154"/>
      <c r="D40" s="168"/>
    </row>
    <row r="41" spans="1:4" ht="14.25" customHeight="1">
      <c r="A41" s="9" t="s">
        <v>71</v>
      </c>
      <c r="B41" s="22" t="s">
        <v>24</v>
      </c>
      <c r="C41" s="154"/>
      <c r="D41" s="162"/>
    </row>
    <row r="42" spans="1:4" ht="11.25" customHeight="1">
      <c r="A42" s="169" t="s">
        <v>29</v>
      </c>
      <c r="B42" s="169"/>
      <c r="C42" s="169"/>
      <c r="D42" s="169"/>
    </row>
    <row r="43" spans="1:4" ht="35.25" customHeight="1">
      <c r="A43" s="9" t="s">
        <v>30</v>
      </c>
      <c r="B43" s="22" t="s">
        <v>22</v>
      </c>
      <c r="C43" s="154">
        <v>0.7</v>
      </c>
      <c r="D43" s="152">
        <f>C43*12*B8</f>
        <v>14237.159999999998</v>
      </c>
    </row>
    <row r="44" spans="1:4" ht="38.25" customHeight="1">
      <c r="A44" s="9" t="s">
        <v>31</v>
      </c>
      <c r="B44" s="22" t="s">
        <v>22</v>
      </c>
      <c r="C44" s="154"/>
      <c r="D44" s="152"/>
    </row>
    <row r="45" spans="1:4" ht="15" customHeight="1">
      <c r="A45" s="10" t="s">
        <v>32</v>
      </c>
      <c r="B45" s="22" t="s">
        <v>22</v>
      </c>
      <c r="C45" s="154"/>
      <c r="D45" s="152"/>
    </row>
    <row r="46" spans="1:4" ht="12.75" customHeight="1">
      <c r="A46" s="167" t="s">
        <v>33</v>
      </c>
      <c r="B46" s="167"/>
      <c r="C46" s="167"/>
      <c r="D46" s="167"/>
    </row>
    <row r="47" spans="1:4" ht="29.25" customHeight="1">
      <c r="A47" s="9" t="s">
        <v>34</v>
      </c>
      <c r="B47" s="22" t="s">
        <v>77</v>
      </c>
      <c r="C47" s="154">
        <v>1.98</v>
      </c>
      <c r="D47" s="154">
        <f>C47*12*B8</f>
        <v>40270.824000000001</v>
      </c>
    </row>
    <row r="48" spans="1:4" ht="14.25" customHeight="1">
      <c r="A48" s="9" t="s">
        <v>35</v>
      </c>
      <c r="B48" s="22" t="s">
        <v>81</v>
      </c>
      <c r="C48" s="154"/>
      <c r="D48" s="154"/>
    </row>
    <row r="49" spans="1:4" ht="17.25" customHeight="1">
      <c r="A49" s="9" t="s">
        <v>36</v>
      </c>
      <c r="B49" s="22" t="s">
        <v>81</v>
      </c>
      <c r="C49" s="154"/>
      <c r="D49" s="154"/>
    </row>
    <row r="50" spans="1:4" ht="24.75" customHeight="1">
      <c r="A50" s="9" t="s">
        <v>37</v>
      </c>
      <c r="B50" s="22" t="s">
        <v>82</v>
      </c>
      <c r="C50" s="154"/>
      <c r="D50" s="154"/>
    </row>
    <row r="51" spans="1:4" ht="30" customHeight="1">
      <c r="A51" s="9" t="s">
        <v>38</v>
      </c>
      <c r="B51" s="22" t="s">
        <v>82</v>
      </c>
      <c r="C51" s="154"/>
      <c r="D51" s="154"/>
    </row>
    <row r="52" spans="1:4" ht="12.75" customHeight="1">
      <c r="A52" s="95" t="s">
        <v>95</v>
      </c>
      <c r="B52" s="6"/>
      <c r="C52" s="154"/>
      <c r="D52" s="154"/>
    </row>
    <row r="53" spans="1:4" ht="35.25" customHeight="1">
      <c r="A53" s="9" t="s">
        <v>40</v>
      </c>
      <c r="B53" s="22" t="s">
        <v>79</v>
      </c>
      <c r="C53" s="154"/>
      <c r="D53" s="154"/>
    </row>
    <row r="54" spans="1:4" ht="14.25" customHeight="1">
      <c r="A54" s="9" t="s">
        <v>41</v>
      </c>
      <c r="B54" s="22" t="s">
        <v>80</v>
      </c>
      <c r="C54" s="154"/>
      <c r="D54" s="154"/>
    </row>
    <row r="55" spans="1:4" ht="14.25" customHeight="1">
      <c r="A55" s="9" t="s">
        <v>42</v>
      </c>
      <c r="B55" s="23" t="s">
        <v>80</v>
      </c>
      <c r="C55" s="154"/>
      <c r="D55" s="154"/>
    </row>
    <row r="56" spans="1:4" ht="13.5" customHeight="1">
      <c r="A56" s="9" t="s">
        <v>43</v>
      </c>
      <c r="B56" s="23" t="s">
        <v>80</v>
      </c>
      <c r="C56" s="154"/>
      <c r="D56" s="154"/>
    </row>
    <row r="57" spans="1:4" ht="13.5" customHeight="1">
      <c r="A57" s="9" t="s">
        <v>44</v>
      </c>
      <c r="B57" s="21" t="s">
        <v>220</v>
      </c>
      <c r="C57" s="154"/>
      <c r="D57" s="154"/>
    </row>
    <row r="58" spans="1:4" ht="36.75" customHeight="1">
      <c r="A58" s="10" t="s">
        <v>45</v>
      </c>
      <c r="B58" s="22" t="s">
        <v>22</v>
      </c>
      <c r="C58" s="154"/>
      <c r="D58" s="154"/>
    </row>
    <row r="59" spans="1:4">
      <c r="A59" s="167" t="s">
        <v>46</v>
      </c>
      <c r="B59" s="167"/>
      <c r="C59" s="167"/>
      <c r="D59" s="167"/>
    </row>
    <row r="60" spans="1:4" ht="15.75" customHeight="1">
      <c r="A60" s="9" t="s">
        <v>47</v>
      </c>
      <c r="B60" s="22" t="s">
        <v>83</v>
      </c>
      <c r="C60" s="153">
        <v>1.85</v>
      </c>
      <c r="D60" s="179">
        <f>C60*B8*12+1.22</f>
        <v>37628.000000000007</v>
      </c>
    </row>
    <row r="61" spans="1:4" ht="12.75" customHeight="1">
      <c r="A61" s="9" t="s">
        <v>48</v>
      </c>
      <c r="B61" s="22" t="s">
        <v>83</v>
      </c>
      <c r="C61" s="168"/>
      <c r="D61" s="180"/>
    </row>
    <row r="62" spans="1:4" ht="15.75" customHeight="1">
      <c r="A62" s="9" t="s">
        <v>49</v>
      </c>
      <c r="B62" s="22" t="s">
        <v>83</v>
      </c>
      <c r="C62" s="168"/>
      <c r="D62" s="180"/>
    </row>
    <row r="63" spans="1:4" ht="16.5" customHeight="1">
      <c r="A63" s="9" t="s">
        <v>50</v>
      </c>
      <c r="B63" s="22" t="s">
        <v>83</v>
      </c>
      <c r="C63" s="168"/>
      <c r="D63" s="180"/>
    </row>
    <row r="64" spans="1:4" ht="36.75" customHeight="1">
      <c r="A64" s="10" t="s">
        <v>51</v>
      </c>
      <c r="B64" s="22" t="s">
        <v>22</v>
      </c>
      <c r="C64" s="168"/>
      <c r="D64" s="180"/>
    </row>
    <row r="65" spans="1:4" ht="16.5" customHeight="1">
      <c r="A65" s="10" t="s">
        <v>52</v>
      </c>
      <c r="B65" s="23" t="s">
        <v>84</v>
      </c>
      <c r="C65" s="168"/>
      <c r="D65" s="180"/>
    </row>
    <row r="66" spans="1:4" ht="16.5" customHeight="1">
      <c r="A66" s="53" t="s">
        <v>115</v>
      </c>
      <c r="B66" s="23" t="s">
        <v>116</v>
      </c>
      <c r="C66" s="162"/>
      <c r="D66" s="181"/>
    </row>
    <row r="67" spans="1:4">
      <c r="A67" s="157" t="s">
        <v>85</v>
      </c>
      <c r="B67" s="158"/>
      <c r="C67" s="158"/>
      <c r="D67" s="159"/>
    </row>
    <row r="68" spans="1:4" ht="26.25" customHeight="1">
      <c r="A68" s="175" t="s">
        <v>96</v>
      </c>
      <c r="B68" s="177" t="s">
        <v>86</v>
      </c>
      <c r="C68" s="152">
        <v>2.41</v>
      </c>
      <c r="D68" s="154">
        <f>C68*B8*12</f>
        <v>49016.508000000002</v>
      </c>
    </row>
    <row r="69" spans="1:4" ht="3.75" customHeight="1">
      <c r="A69" s="176"/>
      <c r="B69" s="177"/>
      <c r="C69" s="152"/>
      <c r="D69" s="154"/>
    </row>
    <row r="70" spans="1:4" ht="15" customHeight="1">
      <c r="A70" s="157" t="s">
        <v>55</v>
      </c>
      <c r="B70" s="158"/>
      <c r="C70" s="158"/>
      <c r="D70" s="159"/>
    </row>
    <row r="71" spans="1:4" ht="16.5" customHeight="1">
      <c r="A71" s="6" t="s">
        <v>90</v>
      </c>
      <c r="B71" s="21" t="s">
        <v>87</v>
      </c>
      <c r="C71" s="170">
        <v>2.14</v>
      </c>
      <c r="D71" s="172">
        <f>C71*12*B8</f>
        <v>43525.031999999999</v>
      </c>
    </row>
    <row r="72" spans="1:4">
      <c r="A72" s="6" t="s">
        <v>91</v>
      </c>
      <c r="B72" s="21" t="s">
        <v>87</v>
      </c>
      <c r="C72" s="171"/>
      <c r="D72" s="173"/>
    </row>
    <row r="73" spans="1:4" ht="15" customHeight="1">
      <c r="A73" s="6" t="s">
        <v>92</v>
      </c>
      <c r="B73" s="21" t="s">
        <v>87</v>
      </c>
      <c r="C73" s="169"/>
      <c r="D73" s="174"/>
    </row>
    <row r="74" spans="1:4" ht="38.25" customHeight="1">
      <c r="A74" s="6" t="s">
        <v>143</v>
      </c>
      <c r="B74" s="22" t="s">
        <v>22</v>
      </c>
      <c r="C74" s="93">
        <v>4.3499999999999996</v>
      </c>
      <c r="D74" s="93">
        <f>C74*12*B8</f>
        <v>88473.78</v>
      </c>
    </row>
    <row r="75" spans="1:4">
      <c r="A75" s="95" t="s">
        <v>56</v>
      </c>
      <c r="B75" s="23"/>
      <c r="C75" s="28">
        <f>C74+C71+C68+C60+C47+C43+C36+C29+C25+C17+C16+C13</f>
        <v>21.619999999999997</v>
      </c>
      <c r="D75" s="28">
        <f>D74+D71+D68+D60+D47+D43+D36+D29+D25+D17+D16+D13</f>
        <v>439726.07600000006</v>
      </c>
    </row>
    <row r="76" spans="1:4">
      <c r="C76" t="s">
        <v>201</v>
      </c>
    </row>
    <row r="77" spans="1:4">
      <c r="D77" s="40"/>
    </row>
    <row r="78" spans="1:4">
      <c r="D78" s="40"/>
    </row>
    <row r="79" spans="1:4">
      <c r="D79" s="40"/>
    </row>
    <row r="80" spans="1:4">
      <c r="D80" s="40"/>
    </row>
    <row r="81" spans="4:4">
      <c r="D81" s="40"/>
    </row>
  </sheetData>
  <mergeCells count="33">
    <mergeCell ref="C36:C41"/>
    <mergeCell ref="D36:D41"/>
    <mergeCell ref="A12:D12"/>
    <mergeCell ref="C17:C23"/>
    <mergeCell ref="D17:D23"/>
    <mergeCell ref="A24:D24"/>
    <mergeCell ref="C25:C26"/>
    <mergeCell ref="D25:D26"/>
    <mergeCell ref="A27:D27"/>
    <mergeCell ref="A28:D28"/>
    <mergeCell ref="C29:C34"/>
    <mergeCell ref="D29:D34"/>
    <mergeCell ref="A35:D35"/>
    <mergeCell ref="B13:B14"/>
    <mergeCell ref="C13:C14"/>
    <mergeCell ref="D13:D14"/>
    <mergeCell ref="A42:D42"/>
    <mergeCell ref="C43:C45"/>
    <mergeCell ref="D43:D45"/>
    <mergeCell ref="A46:D46"/>
    <mergeCell ref="C47:C58"/>
    <mergeCell ref="D47:D58"/>
    <mergeCell ref="A70:D70"/>
    <mergeCell ref="C71:C73"/>
    <mergeCell ref="D71:D73"/>
    <mergeCell ref="A59:D59"/>
    <mergeCell ref="C60:C66"/>
    <mergeCell ref="D60:D66"/>
    <mergeCell ref="A68:A69"/>
    <mergeCell ref="B68:B69"/>
    <mergeCell ref="C68:C69"/>
    <mergeCell ref="D68:D69"/>
    <mergeCell ref="A67:D6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83"/>
  <sheetViews>
    <sheetView topLeftCell="A58" workbookViewId="0">
      <selection activeCell="A88" sqref="A88:B88"/>
    </sheetView>
  </sheetViews>
  <sheetFormatPr defaultRowHeight="15"/>
  <cols>
    <col min="1" max="1" width="93.5703125" customWidth="1"/>
    <col min="2" max="2" width="13" customWidth="1"/>
    <col min="3" max="3" width="10" style="96" customWidth="1"/>
    <col min="4" max="4" width="12" customWidth="1"/>
  </cols>
  <sheetData>
    <row r="1" spans="1:4">
      <c r="A1" s="1" t="s">
        <v>0</v>
      </c>
      <c r="B1" s="2"/>
      <c r="C1" s="41"/>
      <c r="D1" s="2" t="s">
        <v>64</v>
      </c>
    </row>
    <row r="2" spans="1:4">
      <c r="A2" s="1" t="s">
        <v>218</v>
      </c>
      <c r="B2" s="2"/>
      <c r="C2" s="41"/>
      <c r="D2" s="2"/>
    </row>
    <row r="3" spans="1:4">
      <c r="A3" s="1" t="s">
        <v>285</v>
      </c>
      <c r="B3" s="2"/>
      <c r="C3" s="41"/>
      <c r="D3" s="2"/>
    </row>
    <row r="4" spans="1:4">
      <c r="A4" s="25" t="s">
        <v>58</v>
      </c>
      <c r="B4" s="2">
        <v>1986</v>
      </c>
      <c r="C4" s="41"/>
      <c r="D4" s="2"/>
    </row>
    <row r="5" spans="1:4">
      <c r="A5" s="25" t="s">
        <v>59</v>
      </c>
      <c r="B5" s="2">
        <v>4</v>
      </c>
      <c r="C5" s="41"/>
      <c r="D5" s="2"/>
    </row>
    <row r="6" spans="1:4">
      <c r="A6" s="25" t="s">
        <v>60</v>
      </c>
      <c r="B6" s="2">
        <v>3</v>
      </c>
      <c r="C6" s="41"/>
      <c r="D6" s="2"/>
    </row>
    <row r="7" spans="1:4">
      <c r="A7" s="25" t="s">
        <v>61</v>
      </c>
      <c r="B7" s="2">
        <v>36</v>
      </c>
      <c r="C7" s="41"/>
      <c r="D7" s="2"/>
    </row>
    <row r="8" spans="1:4">
      <c r="A8" s="25" t="s">
        <v>72</v>
      </c>
      <c r="B8" s="2">
        <v>1697.3</v>
      </c>
      <c r="C8" s="41"/>
      <c r="D8" s="2"/>
    </row>
    <row r="9" spans="1:4">
      <c r="A9" s="25" t="s">
        <v>62</v>
      </c>
      <c r="B9" s="2">
        <v>170</v>
      </c>
      <c r="C9" s="41"/>
      <c r="D9" s="2"/>
    </row>
    <row r="10" spans="1:4">
      <c r="A10" s="25" t="s">
        <v>73</v>
      </c>
      <c r="B10" s="46">
        <v>439.5</v>
      </c>
      <c r="C10" s="41"/>
      <c r="D10" s="2"/>
    </row>
    <row r="11" spans="1:4" ht="36.75">
      <c r="A11" s="91" t="s">
        <v>1</v>
      </c>
      <c r="B11" s="91" t="s">
        <v>2</v>
      </c>
      <c r="C11" s="141" t="s">
        <v>3</v>
      </c>
      <c r="D11" s="91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1.02</v>
      </c>
      <c r="D13" s="163">
        <f>C13*12*B8</f>
        <v>20774.952000000001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6" t="s">
        <v>9</v>
      </c>
      <c r="B15" s="94"/>
      <c r="C15" s="26"/>
      <c r="D15" s="30"/>
    </row>
    <row r="16" spans="1:4">
      <c r="A16" s="6" t="s">
        <v>296</v>
      </c>
      <c r="B16" s="94" t="s">
        <v>121</v>
      </c>
      <c r="C16" s="26">
        <v>2.86</v>
      </c>
      <c r="D16" s="30">
        <f>C16*12*B8</f>
        <v>58251.335999999996</v>
      </c>
    </row>
    <row r="17" spans="1:4">
      <c r="A17" s="6" t="s">
        <v>362</v>
      </c>
      <c r="B17" s="141" t="s">
        <v>105</v>
      </c>
      <c r="C17" s="26">
        <v>0.38</v>
      </c>
      <c r="D17" s="30">
        <f>C17*12*B8</f>
        <v>7739.688000000001</v>
      </c>
    </row>
    <row r="18" spans="1:4">
      <c r="A18" s="6" t="s">
        <v>363</v>
      </c>
      <c r="B18" s="141" t="s">
        <v>105</v>
      </c>
      <c r="C18" s="44">
        <v>0.17</v>
      </c>
      <c r="D18" s="30">
        <f>C18*12*B8</f>
        <v>3462.4920000000002</v>
      </c>
    </row>
    <row r="19" spans="1:4">
      <c r="A19" s="6" t="s">
        <v>364</v>
      </c>
      <c r="B19" s="141" t="s">
        <v>105</v>
      </c>
      <c r="C19" s="44">
        <v>0.59</v>
      </c>
      <c r="D19" s="30">
        <f>C19*12*B8</f>
        <v>12016.884</v>
      </c>
    </row>
    <row r="20" spans="1:4" ht="13.5" customHeight="1">
      <c r="A20" s="39" t="s">
        <v>97</v>
      </c>
      <c r="B20" s="88"/>
      <c r="C20" s="139"/>
      <c r="D20" s="88"/>
    </row>
    <row r="21" spans="1:4" ht="13.5" customHeight="1">
      <c r="A21" s="6" t="s">
        <v>11</v>
      </c>
      <c r="B21" s="91" t="s">
        <v>75</v>
      </c>
      <c r="C21" s="152">
        <v>2.16</v>
      </c>
      <c r="D21" s="166">
        <f>C21*B8*12</f>
        <v>43994.016000000003</v>
      </c>
    </row>
    <row r="22" spans="1:4" ht="12.75" customHeight="1">
      <c r="A22" s="6" t="s">
        <v>12</v>
      </c>
      <c r="B22" s="91" t="s">
        <v>75</v>
      </c>
      <c r="C22" s="152"/>
      <c r="D22" s="155"/>
    </row>
    <row r="23" spans="1:4" ht="14.25" customHeight="1">
      <c r="A23" s="6" t="s">
        <v>13</v>
      </c>
      <c r="B23" s="91" t="s">
        <v>75</v>
      </c>
      <c r="C23" s="152"/>
      <c r="D23" s="155"/>
    </row>
    <row r="24" spans="1:4" ht="13.5" customHeight="1">
      <c r="A24" s="6" t="s">
        <v>14</v>
      </c>
      <c r="B24" s="91" t="s">
        <v>76</v>
      </c>
      <c r="C24" s="152"/>
      <c r="D24" s="155"/>
    </row>
    <row r="25" spans="1:4" ht="12.75" customHeight="1">
      <c r="A25" s="39" t="s">
        <v>93</v>
      </c>
      <c r="B25" s="91"/>
      <c r="C25" s="152"/>
      <c r="D25" s="155"/>
    </row>
    <row r="26" spans="1:4" ht="30" customHeight="1">
      <c r="A26" s="6" t="s">
        <v>15</v>
      </c>
      <c r="B26" s="91" t="s">
        <v>94</v>
      </c>
      <c r="C26" s="152"/>
      <c r="D26" s="156"/>
    </row>
    <row r="27" spans="1:4" ht="12.75" customHeight="1">
      <c r="A27" s="157" t="s">
        <v>16</v>
      </c>
      <c r="B27" s="158"/>
      <c r="C27" s="158"/>
      <c r="D27" s="159"/>
    </row>
    <row r="28" spans="1:4" ht="12" customHeight="1">
      <c r="A28" s="7" t="s">
        <v>17</v>
      </c>
      <c r="B28" s="21" t="s">
        <v>78</v>
      </c>
      <c r="C28" s="152">
        <v>0.2</v>
      </c>
      <c r="D28" s="167">
        <f>C28*B8*12</f>
        <v>4073.5200000000004</v>
      </c>
    </row>
    <row r="29" spans="1:4" ht="12" customHeight="1">
      <c r="A29" s="7" t="s">
        <v>18</v>
      </c>
      <c r="B29" s="21" t="s">
        <v>77</v>
      </c>
      <c r="C29" s="152"/>
      <c r="D29" s="167"/>
    </row>
    <row r="30" spans="1:4" ht="13.5" customHeight="1">
      <c r="A30" s="157" t="s">
        <v>19</v>
      </c>
      <c r="B30" s="158"/>
      <c r="C30" s="158"/>
      <c r="D30" s="159"/>
    </row>
    <row r="31" spans="1:4">
      <c r="A31" s="167" t="s">
        <v>20</v>
      </c>
      <c r="B31" s="167"/>
      <c r="C31" s="167"/>
      <c r="D31" s="167"/>
    </row>
    <row r="32" spans="1:4" ht="37.5" customHeight="1">
      <c r="A32" s="8" t="s">
        <v>21</v>
      </c>
      <c r="B32" s="22" t="s">
        <v>79</v>
      </c>
      <c r="C32" s="152">
        <v>0.52</v>
      </c>
      <c r="D32" s="154">
        <f>C32*B8*12</f>
        <v>10591.152</v>
      </c>
    </row>
    <row r="33" spans="1:4" ht="15" customHeight="1">
      <c r="A33" s="9" t="s">
        <v>23</v>
      </c>
      <c r="B33" s="23" t="s">
        <v>80</v>
      </c>
      <c r="C33" s="152"/>
      <c r="D33" s="155"/>
    </row>
    <row r="34" spans="1:4" ht="13.5" customHeight="1">
      <c r="A34" s="9" t="s">
        <v>25</v>
      </c>
      <c r="B34" s="23" t="s">
        <v>80</v>
      </c>
      <c r="C34" s="152"/>
      <c r="D34" s="155"/>
    </row>
    <row r="35" spans="1:4" ht="36" customHeight="1">
      <c r="A35" s="9" t="s">
        <v>26</v>
      </c>
      <c r="B35" s="22" t="s">
        <v>22</v>
      </c>
      <c r="C35" s="152"/>
      <c r="D35" s="155"/>
    </row>
    <row r="36" spans="1:4" ht="14.25" customHeight="1">
      <c r="A36" s="9" t="s">
        <v>27</v>
      </c>
      <c r="B36" s="22" t="s">
        <v>24</v>
      </c>
      <c r="C36" s="152"/>
      <c r="D36" s="155"/>
    </row>
    <row r="37" spans="1:4" ht="33.75" customHeight="1">
      <c r="A37" s="24" t="s">
        <v>28</v>
      </c>
      <c r="B37" s="22" t="s">
        <v>22</v>
      </c>
      <c r="C37" s="153"/>
      <c r="D37" s="156"/>
    </row>
    <row r="38" spans="1:4" ht="15.75" customHeight="1">
      <c r="A38" s="167" t="s">
        <v>65</v>
      </c>
      <c r="B38" s="167"/>
      <c r="C38" s="167"/>
      <c r="D38" s="167"/>
    </row>
    <row r="39" spans="1:4" ht="36.75" customHeight="1">
      <c r="A39" s="9" t="s">
        <v>66</v>
      </c>
      <c r="B39" s="22" t="s">
        <v>79</v>
      </c>
      <c r="C39" s="154">
        <v>1.19</v>
      </c>
      <c r="D39" s="152">
        <f>C39*B8*12</f>
        <v>24237.443999999996</v>
      </c>
    </row>
    <row r="40" spans="1:4" ht="14.25" customHeight="1">
      <c r="A40" s="9" t="s">
        <v>67</v>
      </c>
      <c r="B40" s="22" t="s">
        <v>80</v>
      </c>
      <c r="C40" s="154"/>
      <c r="D40" s="168"/>
    </row>
    <row r="41" spans="1:4" ht="14.25" customHeight="1">
      <c r="A41" s="9" t="s">
        <v>68</v>
      </c>
      <c r="B41" s="22" t="s">
        <v>80</v>
      </c>
      <c r="C41" s="154"/>
      <c r="D41" s="168"/>
    </row>
    <row r="42" spans="1:4" ht="24" customHeight="1">
      <c r="A42" s="9" t="s">
        <v>69</v>
      </c>
      <c r="B42" s="22" t="s">
        <v>79</v>
      </c>
      <c r="C42" s="154"/>
      <c r="D42" s="168"/>
    </row>
    <row r="43" spans="1:4" ht="25.5" customHeight="1">
      <c r="A43" s="10" t="s">
        <v>70</v>
      </c>
      <c r="B43" s="22" t="s">
        <v>79</v>
      </c>
      <c r="C43" s="154"/>
      <c r="D43" s="168"/>
    </row>
    <row r="44" spans="1:4" ht="14.25" customHeight="1">
      <c r="A44" s="9" t="s">
        <v>71</v>
      </c>
      <c r="B44" s="22" t="s">
        <v>24</v>
      </c>
      <c r="C44" s="154"/>
      <c r="D44" s="162"/>
    </row>
    <row r="45" spans="1:4" ht="11.25" customHeight="1">
      <c r="A45" s="169" t="s">
        <v>29</v>
      </c>
      <c r="B45" s="169"/>
      <c r="C45" s="169"/>
      <c r="D45" s="169"/>
    </row>
    <row r="46" spans="1:4" ht="35.25" customHeight="1">
      <c r="A46" s="9" t="s">
        <v>30</v>
      </c>
      <c r="B46" s="22" t="s">
        <v>22</v>
      </c>
      <c r="C46" s="154">
        <v>0.81</v>
      </c>
      <c r="D46" s="152">
        <f>C46*12*B8</f>
        <v>16497.756000000001</v>
      </c>
    </row>
    <row r="47" spans="1:4" ht="38.25" customHeight="1">
      <c r="A47" s="9" t="s">
        <v>31</v>
      </c>
      <c r="B47" s="22" t="s">
        <v>22</v>
      </c>
      <c r="C47" s="154"/>
      <c r="D47" s="152"/>
    </row>
    <row r="48" spans="1:4" ht="15" customHeight="1">
      <c r="A48" s="10" t="s">
        <v>32</v>
      </c>
      <c r="B48" s="22" t="s">
        <v>22</v>
      </c>
      <c r="C48" s="154"/>
      <c r="D48" s="152"/>
    </row>
    <row r="49" spans="1:4" ht="12.75" customHeight="1">
      <c r="A49" s="167" t="s">
        <v>33</v>
      </c>
      <c r="B49" s="167"/>
      <c r="C49" s="167"/>
      <c r="D49" s="167"/>
    </row>
    <row r="50" spans="1:4" ht="29.25" customHeight="1">
      <c r="A50" s="9" t="s">
        <v>34</v>
      </c>
      <c r="B50" s="22" t="s">
        <v>77</v>
      </c>
      <c r="C50" s="154">
        <v>1.19</v>
      </c>
      <c r="D50" s="154">
        <f>C50*12*B8</f>
        <v>24237.444</v>
      </c>
    </row>
    <row r="51" spans="1:4" ht="14.25" customHeight="1">
      <c r="A51" s="9" t="s">
        <v>35</v>
      </c>
      <c r="B51" s="22" t="s">
        <v>81</v>
      </c>
      <c r="C51" s="154"/>
      <c r="D51" s="154"/>
    </row>
    <row r="52" spans="1:4" ht="17.25" customHeight="1">
      <c r="A52" s="9" t="s">
        <v>36</v>
      </c>
      <c r="B52" s="22" t="s">
        <v>81</v>
      </c>
      <c r="C52" s="154"/>
      <c r="D52" s="154"/>
    </row>
    <row r="53" spans="1:4" ht="24.75" customHeight="1">
      <c r="A53" s="9" t="s">
        <v>37</v>
      </c>
      <c r="B53" s="22" t="s">
        <v>82</v>
      </c>
      <c r="C53" s="154"/>
      <c r="D53" s="154"/>
    </row>
    <row r="54" spans="1:4" ht="30" customHeight="1">
      <c r="A54" s="9" t="s">
        <v>38</v>
      </c>
      <c r="B54" s="22" t="s">
        <v>82</v>
      </c>
      <c r="C54" s="154"/>
      <c r="D54" s="154"/>
    </row>
    <row r="55" spans="1:4" ht="12.75" customHeight="1">
      <c r="A55" s="88" t="s">
        <v>95</v>
      </c>
      <c r="B55" s="6"/>
      <c r="C55" s="154"/>
      <c r="D55" s="154"/>
    </row>
    <row r="56" spans="1:4" ht="35.25" customHeight="1">
      <c r="A56" s="9" t="s">
        <v>40</v>
      </c>
      <c r="B56" s="22" t="s">
        <v>79</v>
      </c>
      <c r="C56" s="154"/>
      <c r="D56" s="154"/>
    </row>
    <row r="57" spans="1:4" ht="14.25" customHeight="1">
      <c r="A57" s="9" t="s">
        <v>41</v>
      </c>
      <c r="B57" s="22" t="s">
        <v>80</v>
      </c>
      <c r="C57" s="154"/>
      <c r="D57" s="154"/>
    </row>
    <row r="58" spans="1:4" ht="14.25" customHeight="1">
      <c r="A58" s="9" t="s">
        <v>42</v>
      </c>
      <c r="B58" s="23" t="s">
        <v>80</v>
      </c>
      <c r="C58" s="154"/>
      <c r="D58" s="154"/>
    </row>
    <row r="59" spans="1:4" ht="13.5" customHeight="1">
      <c r="A59" s="9" t="s">
        <v>43</v>
      </c>
      <c r="B59" s="23" t="s">
        <v>80</v>
      </c>
      <c r="C59" s="154"/>
      <c r="D59" s="154"/>
    </row>
    <row r="60" spans="1:4" ht="13.5" customHeight="1">
      <c r="A60" s="9" t="s">
        <v>44</v>
      </c>
      <c r="B60" s="21" t="s">
        <v>212</v>
      </c>
      <c r="C60" s="154"/>
      <c r="D60" s="154"/>
    </row>
    <row r="61" spans="1:4" ht="36.75" customHeight="1">
      <c r="A61" s="10" t="s">
        <v>45</v>
      </c>
      <c r="B61" s="22" t="s">
        <v>22</v>
      </c>
      <c r="C61" s="154"/>
      <c r="D61" s="154"/>
    </row>
    <row r="62" spans="1:4">
      <c r="A62" s="167" t="s">
        <v>46</v>
      </c>
      <c r="B62" s="167"/>
      <c r="C62" s="167"/>
      <c r="D62" s="167"/>
    </row>
    <row r="63" spans="1:4" ht="15.75" customHeight="1">
      <c r="A63" s="9" t="s">
        <v>47</v>
      </c>
      <c r="B63" s="22" t="s">
        <v>83</v>
      </c>
      <c r="C63" s="134"/>
      <c r="D63" s="98"/>
    </row>
    <row r="64" spans="1:4" ht="12.75" customHeight="1">
      <c r="A64" s="9" t="s">
        <v>48</v>
      </c>
      <c r="B64" s="22" t="s">
        <v>83</v>
      </c>
      <c r="C64" s="140"/>
      <c r="D64" s="99"/>
    </row>
    <row r="65" spans="1:4" ht="15.75" customHeight="1">
      <c r="A65" s="9" t="s">
        <v>49</v>
      </c>
      <c r="B65" s="22" t="s">
        <v>83</v>
      </c>
      <c r="C65" s="140"/>
      <c r="D65" s="99"/>
    </row>
    <row r="66" spans="1:4" ht="16.5" customHeight="1">
      <c r="A66" s="9" t="s">
        <v>50</v>
      </c>
      <c r="B66" s="22" t="s">
        <v>83</v>
      </c>
      <c r="C66" s="140"/>
      <c r="D66" s="99"/>
    </row>
    <row r="67" spans="1:4" ht="36.75" customHeight="1">
      <c r="A67" s="10" t="s">
        <v>51</v>
      </c>
      <c r="B67" s="22" t="s">
        <v>22</v>
      </c>
      <c r="C67" s="140"/>
      <c r="D67" s="99"/>
    </row>
    <row r="68" spans="1:4" ht="16.5" customHeight="1">
      <c r="A68" s="10" t="s">
        <v>52</v>
      </c>
      <c r="B68" s="23" t="s">
        <v>84</v>
      </c>
      <c r="C68" s="140">
        <v>1</v>
      </c>
      <c r="D68" s="99">
        <f>C68*12*B8</f>
        <v>20367.599999999999</v>
      </c>
    </row>
    <row r="69" spans="1:4" ht="16.5" customHeight="1">
      <c r="A69" s="53" t="s">
        <v>115</v>
      </c>
      <c r="B69" s="23" t="s">
        <v>116</v>
      </c>
      <c r="C69" s="133">
        <v>0.63</v>
      </c>
      <c r="D69" s="100">
        <f>C69*12*B8+1.24</f>
        <v>12832.828</v>
      </c>
    </row>
    <row r="70" spans="1:4">
      <c r="A70" s="157" t="s">
        <v>85</v>
      </c>
      <c r="B70" s="158"/>
      <c r="C70" s="158"/>
      <c r="D70" s="159"/>
    </row>
    <row r="71" spans="1:4" ht="26.25" customHeight="1">
      <c r="A71" s="175" t="s">
        <v>96</v>
      </c>
      <c r="B71" s="177" t="s">
        <v>86</v>
      </c>
      <c r="C71" s="152">
        <v>2.41</v>
      </c>
      <c r="D71" s="154">
        <f>C71*B8*12</f>
        <v>49085.915999999997</v>
      </c>
    </row>
    <row r="72" spans="1:4" ht="3.75" customHeight="1">
      <c r="A72" s="176"/>
      <c r="B72" s="177"/>
      <c r="C72" s="152"/>
      <c r="D72" s="154"/>
    </row>
    <row r="73" spans="1:4" ht="15" customHeight="1">
      <c r="A73" s="157" t="s">
        <v>55</v>
      </c>
      <c r="B73" s="158"/>
      <c r="C73" s="158"/>
      <c r="D73" s="159"/>
    </row>
    <row r="74" spans="1:4" ht="16.5" customHeight="1">
      <c r="A74" s="6" t="s">
        <v>90</v>
      </c>
      <c r="B74" s="21" t="s">
        <v>87</v>
      </c>
      <c r="C74" s="170">
        <v>2.14</v>
      </c>
      <c r="D74" s="172">
        <f>C74*12*B8</f>
        <v>43586.663999999997</v>
      </c>
    </row>
    <row r="75" spans="1:4">
      <c r="A75" s="6" t="s">
        <v>91</v>
      </c>
      <c r="B75" s="21" t="s">
        <v>87</v>
      </c>
      <c r="C75" s="171"/>
      <c r="D75" s="173"/>
    </row>
    <row r="76" spans="1:4" ht="15" customHeight="1">
      <c r="A76" s="6" t="s">
        <v>92</v>
      </c>
      <c r="B76" s="21" t="s">
        <v>87</v>
      </c>
      <c r="C76" s="169"/>
      <c r="D76" s="174"/>
    </row>
    <row r="77" spans="1:4" ht="38.25" customHeight="1">
      <c r="A77" s="6" t="s">
        <v>143</v>
      </c>
      <c r="B77" s="22" t="s">
        <v>22</v>
      </c>
      <c r="C77" s="139">
        <v>4.3499999999999996</v>
      </c>
      <c r="D77" s="89">
        <f>C77*12*B8</f>
        <v>88599.059999999983</v>
      </c>
    </row>
    <row r="78" spans="1:4">
      <c r="A78" s="88" t="s">
        <v>56</v>
      </c>
      <c r="B78" s="23"/>
      <c r="C78" s="28">
        <f>C77+C74+C71+C69+C68+C50+C46+C39+C32+C28+C21+C19+C18+C17+C16+C13</f>
        <v>21.62</v>
      </c>
      <c r="D78" s="28">
        <f>D77+D74+D71+D69+D68+D50+D46+D39+D32+D28+D21+D19+D18+D17+D16+D13</f>
        <v>440348.75200000009</v>
      </c>
    </row>
    <row r="79" spans="1:4">
      <c r="C79" s="96" t="s">
        <v>201</v>
      </c>
    </row>
    <row r="80" spans="1:4">
      <c r="D80" s="40"/>
    </row>
    <row r="81" spans="4:4">
      <c r="D81" s="40"/>
    </row>
    <row r="82" spans="4:4">
      <c r="D82" s="40"/>
    </row>
    <row r="83" spans="4:4">
      <c r="D83" s="40"/>
    </row>
  </sheetData>
  <mergeCells count="31">
    <mergeCell ref="A73:D73"/>
    <mergeCell ref="C74:C76"/>
    <mergeCell ref="D74:D76"/>
    <mergeCell ref="A62:D62"/>
    <mergeCell ref="A71:A72"/>
    <mergeCell ref="B71:B72"/>
    <mergeCell ref="C71:C72"/>
    <mergeCell ref="D71:D72"/>
    <mergeCell ref="A70:D70"/>
    <mergeCell ref="A45:D45"/>
    <mergeCell ref="C46:C48"/>
    <mergeCell ref="D46:D48"/>
    <mergeCell ref="A49:D49"/>
    <mergeCell ref="C50:C61"/>
    <mergeCell ref="D50:D61"/>
    <mergeCell ref="C39:C44"/>
    <mergeCell ref="D39:D44"/>
    <mergeCell ref="A12:D12"/>
    <mergeCell ref="C21:C26"/>
    <mergeCell ref="D21:D26"/>
    <mergeCell ref="A27:D27"/>
    <mergeCell ref="C28:C29"/>
    <mergeCell ref="D28:D29"/>
    <mergeCell ref="A30:D30"/>
    <mergeCell ref="A31:D31"/>
    <mergeCell ref="C32:C37"/>
    <mergeCell ref="D32:D37"/>
    <mergeCell ref="A38:D38"/>
    <mergeCell ref="B13:B14"/>
    <mergeCell ref="C13:C14"/>
    <mergeCell ref="D13:D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80"/>
  <sheetViews>
    <sheetView workbookViewId="0">
      <selection activeCell="D77" sqref="D77:D81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216</v>
      </c>
      <c r="B2" s="2"/>
      <c r="C2" s="2"/>
      <c r="D2" s="2"/>
    </row>
    <row r="3" spans="1:4">
      <c r="A3" s="1" t="s">
        <v>268</v>
      </c>
      <c r="B3" s="2"/>
      <c r="C3" s="2"/>
      <c r="D3" s="2"/>
    </row>
    <row r="4" spans="1:4">
      <c r="A4" s="25" t="s">
        <v>58</v>
      </c>
      <c r="B4" s="2">
        <v>1986</v>
      </c>
      <c r="C4" s="2"/>
      <c r="D4" s="2"/>
    </row>
    <row r="5" spans="1:4">
      <c r="A5" s="25" t="s">
        <v>59</v>
      </c>
      <c r="B5" s="2">
        <v>4</v>
      </c>
      <c r="C5" s="2"/>
      <c r="D5" s="2"/>
    </row>
    <row r="6" spans="1:4">
      <c r="A6" s="25" t="s">
        <v>60</v>
      </c>
      <c r="B6" s="2">
        <v>3</v>
      </c>
      <c r="C6" s="2"/>
      <c r="D6" s="2"/>
    </row>
    <row r="7" spans="1:4">
      <c r="A7" s="25" t="s">
        <v>61</v>
      </c>
      <c r="B7" s="2">
        <v>36</v>
      </c>
      <c r="C7" s="2"/>
      <c r="D7" s="2"/>
    </row>
    <row r="8" spans="1:4">
      <c r="A8" s="25" t="s">
        <v>72</v>
      </c>
      <c r="B8" s="2">
        <v>1700.6</v>
      </c>
      <c r="C8" s="2"/>
      <c r="D8" s="2"/>
    </row>
    <row r="9" spans="1:4">
      <c r="A9" s="25" t="s">
        <v>62</v>
      </c>
      <c r="B9" s="2">
        <v>170</v>
      </c>
      <c r="C9" s="2"/>
      <c r="D9" s="2"/>
    </row>
    <row r="10" spans="1:4">
      <c r="A10" s="25" t="s">
        <v>73</v>
      </c>
      <c r="B10" s="46">
        <v>447.1</v>
      </c>
      <c r="C10" s="2"/>
      <c r="D10" s="2"/>
    </row>
    <row r="11" spans="1:4" ht="36.75">
      <c r="A11" s="91" t="s">
        <v>1</v>
      </c>
      <c r="B11" s="91" t="s">
        <v>2</v>
      </c>
      <c r="C11" s="91" t="s">
        <v>3</v>
      </c>
      <c r="D11" s="91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1.02</v>
      </c>
      <c r="D13" s="163">
        <f>C13*12*B8</f>
        <v>20815.344000000001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6" t="s">
        <v>9</v>
      </c>
      <c r="B15" s="91"/>
      <c r="C15" s="26"/>
      <c r="D15" s="30"/>
    </row>
    <row r="16" spans="1:4">
      <c r="A16" s="6" t="s">
        <v>296</v>
      </c>
      <c r="B16" s="141" t="s">
        <v>154</v>
      </c>
      <c r="C16" s="26">
        <v>3.25</v>
      </c>
      <c r="D16" s="30">
        <f>C16*12*B8</f>
        <v>66323.399999999994</v>
      </c>
    </row>
    <row r="17" spans="1:4">
      <c r="A17" s="6" t="s">
        <v>361</v>
      </c>
      <c r="B17" s="91" t="s">
        <v>88</v>
      </c>
      <c r="C17" s="44">
        <v>0.75</v>
      </c>
      <c r="D17" s="30">
        <f>C17*12*B8</f>
        <v>15305.4</v>
      </c>
    </row>
    <row r="18" spans="1:4" ht="13.5" customHeight="1">
      <c r="A18" s="39" t="s">
        <v>97</v>
      </c>
      <c r="B18" s="88"/>
      <c r="C18" s="88"/>
      <c r="D18" s="88"/>
    </row>
    <row r="19" spans="1:4" ht="13.5" customHeight="1">
      <c r="A19" s="6" t="s">
        <v>11</v>
      </c>
      <c r="B19" s="91" t="s">
        <v>75</v>
      </c>
      <c r="C19" s="152">
        <v>2.16</v>
      </c>
      <c r="D19" s="166">
        <f>C19*B8*12</f>
        <v>44079.551999999996</v>
      </c>
    </row>
    <row r="20" spans="1:4" ht="12.75" customHeight="1">
      <c r="A20" s="6" t="s">
        <v>12</v>
      </c>
      <c r="B20" s="91" t="s">
        <v>75</v>
      </c>
      <c r="C20" s="152"/>
      <c r="D20" s="155"/>
    </row>
    <row r="21" spans="1:4" ht="14.25" customHeight="1">
      <c r="A21" s="6" t="s">
        <v>13</v>
      </c>
      <c r="B21" s="91" t="s">
        <v>75</v>
      </c>
      <c r="C21" s="152"/>
      <c r="D21" s="155"/>
    </row>
    <row r="22" spans="1:4" ht="13.5" customHeight="1">
      <c r="A22" s="6" t="s">
        <v>14</v>
      </c>
      <c r="B22" s="91" t="s">
        <v>76</v>
      </c>
      <c r="C22" s="152"/>
      <c r="D22" s="155"/>
    </row>
    <row r="23" spans="1:4" ht="12.75" customHeight="1">
      <c r="A23" s="39" t="s">
        <v>93</v>
      </c>
      <c r="B23" s="91"/>
      <c r="C23" s="152"/>
      <c r="D23" s="155"/>
    </row>
    <row r="24" spans="1:4" ht="30" customHeight="1">
      <c r="A24" s="6" t="s">
        <v>15</v>
      </c>
      <c r="B24" s="91" t="s">
        <v>94</v>
      </c>
      <c r="C24" s="152"/>
      <c r="D24" s="156"/>
    </row>
    <row r="25" spans="1:4" ht="12.75" customHeight="1">
      <c r="A25" s="157" t="s">
        <v>16</v>
      </c>
      <c r="B25" s="158"/>
      <c r="C25" s="158"/>
      <c r="D25" s="159"/>
    </row>
    <row r="26" spans="1:4" ht="12" customHeight="1">
      <c r="A26" s="7" t="s">
        <v>17</v>
      </c>
      <c r="B26" s="21" t="s">
        <v>78</v>
      </c>
      <c r="C26" s="152">
        <v>0.2</v>
      </c>
      <c r="D26" s="167">
        <f>C26*B8*12</f>
        <v>4081.44</v>
      </c>
    </row>
    <row r="27" spans="1:4" ht="12" customHeight="1">
      <c r="A27" s="7" t="s">
        <v>18</v>
      </c>
      <c r="B27" s="21" t="s">
        <v>77</v>
      </c>
      <c r="C27" s="152"/>
      <c r="D27" s="167"/>
    </row>
    <row r="28" spans="1:4" ht="13.5" customHeight="1">
      <c r="A28" s="157" t="s">
        <v>19</v>
      </c>
      <c r="B28" s="158"/>
      <c r="C28" s="158"/>
      <c r="D28" s="159"/>
    </row>
    <row r="29" spans="1:4">
      <c r="A29" s="167" t="s">
        <v>20</v>
      </c>
      <c r="B29" s="167"/>
      <c r="C29" s="167"/>
      <c r="D29" s="167"/>
    </row>
    <row r="30" spans="1:4" ht="37.5" customHeight="1">
      <c r="A30" s="8" t="s">
        <v>21</v>
      </c>
      <c r="B30" s="22" t="s">
        <v>79</v>
      </c>
      <c r="C30" s="152">
        <v>0.61</v>
      </c>
      <c r="D30" s="154">
        <f>C30*B8*12</f>
        <v>12448.392</v>
      </c>
    </row>
    <row r="31" spans="1:4" ht="15" customHeight="1">
      <c r="A31" s="9" t="s">
        <v>23</v>
      </c>
      <c r="B31" s="23" t="s">
        <v>80</v>
      </c>
      <c r="C31" s="152"/>
      <c r="D31" s="155"/>
    </row>
    <row r="32" spans="1:4" ht="13.5" customHeight="1">
      <c r="A32" s="9" t="s">
        <v>25</v>
      </c>
      <c r="B32" s="23" t="s">
        <v>80</v>
      </c>
      <c r="C32" s="152"/>
      <c r="D32" s="155"/>
    </row>
    <row r="33" spans="1:4" ht="36" customHeight="1">
      <c r="A33" s="9" t="s">
        <v>26</v>
      </c>
      <c r="B33" s="22" t="s">
        <v>22</v>
      </c>
      <c r="C33" s="152"/>
      <c r="D33" s="155"/>
    </row>
    <row r="34" spans="1:4" ht="14.25" customHeight="1">
      <c r="A34" s="9" t="s">
        <v>27</v>
      </c>
      <c r="B34" s="22" t="s">
        <v>24</v>
      </c>
      <c r="C34" s="152"/>
      <c r="D34" s="155"/>
    </row>
    <row r="35" spans="1:4" ht="33.75" customHeight="1">
      <c r="A35" s="24" t="s">
        <v>28</v>
      </c>
      <c r="B35" s="22" t="s">
        <v>22</v>
      </c>
      <c r="C35" s="153"/>
      <c r="D35" s="156"/>
    </row>
    <row r="36" spans="1:4" ht="15.75" customHeight="1">
      <c r="A36" s="167" t="s">
        <v>65</v>
      </c>
      <c r="B36" s="167"/>
      <c r="C36" s="167"/>
      <c r="D36" s="167"/>
    </row>
    <row r="37" spans="1:4" ht="36.75" customHeight="1">
      <c r="A37" s="9" t="s">
        <v>66</v>
      </c>
      <c r="B37" s="22" t="s">
        <v>79</v>
      </c>
      <c r="C37" s="154">
        <v>1</v>
      </c>
      <c r="D37" s="152">
        <f>C37*B8*12</f>
        <v>20407.199999999997</v>
      </c>
    </row>
    <row r="38" spans="1:4" ht="14.25" customHeight="1">
      <c r="A38" s="9" t="s">
        <v>67</v>
      </c>
      <c r="B38" s="22" t="s">
        <v>80</v>
      </c>
      <c r="C38" s="154"/>
      <c r="D38" s="168"/>
    </row>
    <row r="39" spans="1:4" ht="14.25" customHeight="1">
      <c r="A39" s="9" t="s">
        <v>68</v>
      </c>
      <c r="B39" s="22" t="s">
        <v>80</v>
      </c>
      <c r="C39" s="154"/>
      <c r="D39" s="168"/>
    </row>
    <row r="40" spans="1:4" ht="24" customHeight="1">
      <c r="A40" s="9" t="s">
        <v>69</v>
      </c>
      <c r="B40" s="22" t="s">
        <v>79</v>
      </c>
      <c r="C40" s="154"/>
      <c r="D40" s="168"/>
    </row>
    <row r="41" spans="1:4" ht="25.5" customHeight="1">
      <c r="A41" s="10" t="s">
        <v>70</v>
      </c>
      <c r="B41" s="22" t="s">
        <v>79</v>
      </c>
      <c r="C41" s="154"/>
      <c r="D41" s="168"/>
    </row>
    <row r="42" spans="1:4" ht="14.25" customHeight="1">
      <c r="A42" s="9" t="s">
        <v>71</v>
      </c>
      <c r="B42" s="22" t="s">
        <v>24</v>
      </c>
      <c r="C42" s="154"/>
      <c r="D42" s="162"/>
    </row>
    <row r="43" spans="1:4" ht="11.25" customHeight="1">
      <c r="A43" s="169" t="s">
        <v>29</v>
      </c>
      <c r="B43" s="169"/>
      <c r="C43" s="169"/>
      <c r="D43" s="169"/>
    </row>
    <row r="44" spans="1:4" ht="35.25" customHeight="1">
      <c r="A44" s="9" t="s">
        <v>30</v>
      </c>
      <c r="B44" s="22" t="s">
        <v>22</v>
      </c>
      <c r="C44" s="154">
        <v>0.7</v>
      </c>
      <c r="D44" s="152">
        <f>C44*12*B8</f>
        <v>14285.039999999997</v>
      </c>
    </row>
    <row r="45" spans="1:4" ht="38.25" customHeight="1">
      <c r="A45" s="9" t="s">
        <v>31</v>
      </c>
      <c r="B45" s="22" t="s">
        <v>22</v>
      </c>
      <c r="C45" s="154"/>
      <c r="D45" s="152"/>
    </row>
    <row r="46" spans="1:4" ht="15" customHeight="1">
      <c r="A46" s="10" t="s">
        <v>32</v>
      </c>
      <c r="B46" s="22" t="s">
        <v>22</v>
      </c>
      <c r="C46" s="154"/>
      <c r="D46" s="152"/>
    </row>
    <row r="47" spans="1:4" ht="12.75" customHeight="1">
      <c r="A47" s="167" t="s">
        <v>33</v>
      </c>
      <c r="B47" s="167"/>
      <c r="C47" s="167"/>
      <c r="D47" s="167"/>
    </row>
    <row r="48" spans="1:4" ht="29.25" customHeight="1">
      <c r="A48" s="9" t="s">
        <v>34</v>
      </c>
      <c r="B48" s="22" t="s">
        <v>77</v>
      </c>
      <c r="C48" s="154">
        <v>2.3199999999999998</v>
      </c>
      <c r="D48" s="154">
        <f>C48*12*B8</f>
        <v>47344.703999999991</v>
      </c>
    </row>
    <row r="49" spans="1:4" ht="14.25" customHeight="1">
      <c r="A49" s="9" t="s">
        <v>35</v>
      </c>
      <c r="B49" s="22" t="s">
        <v>81</v>
      </c>
      <c r="C49" s="154"/>
      <c r="D49" s="154"/>
    </row>
    <row r="50" spans="1:4" ht="17.25" customHeight="1">
      <c r="A50" s="9" t="s">
        <v>36</v>
      </c>
      <c r="B50" s="22" t="s">
        <v>81</v>
      </c>
      <c r="C50" s="154"/>
      <c r="D50" s="154"/>
    </row>
    <row r="51" spans="1:4" ht="24.75" customHeight="1">
      <c r="A51" s="9" t="s">
        <v>37</v>
      </c>
      <c r="B51" s="22" t="s">
        <v>82</v>
      </c>
      <c r="C51" s="154"/>
      <c r="D51" s="154"/>
    </row>
    <row r="52" spans="1:4" ht="30" customHeight="1">
      <c r="A52" s="9" t="s">
        <v>38</v>
      </c>
      <c r="B52" s="22" t="s">
        <v>82</v>
      </c>
      <c r="C52" s="154"/>
      <c r="D52" s="154"/>
    </row>
    <row r="53" spans="1:4" ht="12.75" customHeight="1">
      <c r="A53" s="88" t="s">
        <v>95</v>
      </c>
      <c r="B53" s="6"/>
      <c r="C53" s="154"/>
      <c r="D53" s="154"/>
    </row>
    <row r="54" spans="1:4" ht="35.25" customHeight="1">
      <c r="A54" s="9" t="s">
        <v>40</v>
      </c>
      <c r="B54" s="22" t="s">
        <v>79</v>
      </c>
      <c r="C54" s="154"/>
      <c r="D54" s="154"/>
    </row>
    <row r="55" spans="1:4" ht="14.25" customHeight="1">
      <c r="A55" s="9" t="s">
        <v>41</v>
      </c>
      <c r="B55" s="22" t="s">
        <v>80</v>
      </c>
      <c r="C55" s="154"/>
      <c r="D55" s="154"/>
    </row>
    <row r="56" spans="1:4" ht="14.25" customHeight="1">
      <c r="A56" s="9" t="s">
        <v>42</v>
      </c>
      <c r="B56" s="23" t="s">
        <v>80</v>
      </c>
      <c r="C56" s="154"/>
      <c r="D56" s="154"/>
    </row>
    <row r="57" spans="1:4" ht="13.5" customHeight="1">
      <c r="A57" s="9" t="s">
        <v>43</v>
      </c>
      <c r="B57" s="23" t="s">
        <v>80</v>
      </c>
      <c r="C57" s="154"/>
      <c r="D57" s="154"/>
    </row>
    <row r="58" spans="1:4" ht="13.5" customHeight="1">
      <c r="A58" s="9" t="s">
        <v>44</v>
      </c>
      <c r="B58" s="21" t="s">
        <v>217</v>
      </c>
      <c r="C58" s="154"/>
      <c r="D58" s="154"/>
    </row>
    <row r="59" spans="1:4" ht="36.75" customHeight="1">
      <c r="A59" s="10" t="s">
        <v>45</v>
      </c>
      <c r="B59" s="22" t="s">
        <v>22</v>
      </c>
      <c r="C59" s="154"/>
      <c r="D59" s="154"/>
    </row>
    <row r="60" spans="1:4">
      <c r="A60" s="167" t="s">
        <v>46</v>
      </c>
      <c r="B60" s="167"/>
      <c r="C60" s="167"/>
      <c r="D60" s="167"/>
    </row>
    <row r="61" spans="1:4" ht="15.75" customHeight="1">
      <c r="A61" s="9" t="s">
        <v>47</v>
      </c>
      <c r="B61" s="22" t="s">
        <v>83</v>
      </c>
      <c r="C61" s="153">
        <v>0.71</v>
      </c>
      <c r="D61" s="166">
        <f>C61*B8*12+4.11</f>
        <v>14493.222</v>
      </c>
    </row>
    <row r="62" spans="1:4" ht="12.75" customHeight="1">
      <c r="A62" s="9" t="s">
        <v>48</v>
      </c>
      <c r="B62" s="22" t="s">
        <v>83</v>
      </c>
      <c r="C62" s="168"/>
      <c r="D62" s="155"/>
    </row>
    <row r="63" spans="1:4" ht="15.75" customHeight="1">
      <c r="A63" s="9" t="s">
        <v>49</v>
      </c>
      <c r="B63" s="22" t="s">
        <v>83</v>
      </c>
      <c r="C63" s="168"/>
      <c r="D63" s="155"/>
    </row>
    <row r="64" spans="1:4" ht="16.5" customHeight="1">
      <c r="A64" s="9" t="s">
        <v>50</v>
      </c>
      <c r="B64" s="22" t="s">
        <v>83</v>
      </c>
      <c r="C64" s="168"/>
      <c r="D64" s="155"/>
    </row>
    <row r="65" spans="1:4" ht="36.75" customHeight="1">
      <c r="A65" s="10" t="s">
        <v>51</v>
      </c>
      <c r="B65" s="22" t="s">
        <v>22</v>
      </c>
      <c r="C65" s="168"/>
      <c r="D65" s="155"/>
    </row>
    <row r="66" spans="1:4" ht="16.5" customHeight="1">
      <c r="A66" s="10" t="s">
        <v>52</v>
      </c>
      <c r="B66" s="23" t="s">
        <v>84</v>
      </c>
      <c r="C66" s="162"/>
      <c r="D66" s="156"/>
    </row>
    <row r="67" spans="1:4">
      <c r="A67" s="157" t="s">
        <v>85</v>
      </c>
      <c r="B67" s="158"/>
      <c r="C67" s="158"/>
      <c r="D67" s="159"/>
    </row>
    <row r="68" spans="1:4" ht="26.25" customHeight="1">
      <c r="A68" s="175" t="s">
        <v>96</v>
      </c>
      <c r="B68" s="177" t="s">
        <v>86</v>
      </c>
      <c r="C68" s="152">
        <v>2.41</v>
      </c>
      <c r="D68" s="154">
        <f>C68*B8*12</f>
        <v>49181.351999999999</v>
      </c>
    </row>
    <row r="69" spans="1:4" ht="3.75" customHeight="1">
      <c r="A69" s="176"/>
      <c r="B69" s="177"/>
      <c r="C69" s="152"/>
      <c r="D69" s="154"/>
    </row>
    <row r="70" spans="1:4" ht="15" customHeight="1">
      <c r="A70" s="157" t="s">
        <v>55</v>
      </c>
      <c r="B70" s="158"/>
      <c r="C70" s="158"/>
      <c r="D70" s="159"/>
    </row>
    <row r="71" spans="1:4" ht="16.5" customHeight="1">
      <c r="A71" s="6" t="s">
        <v>90</v>
      </c>
      <c r="B71" s="21" t="s">
        <v>87</v>
      </c>
      <c r="C71" s="170">
        <v>2.14</v>
      </c>
      <c r="D71" s="172">
        <f>C71*12*B8</f>
        <v>43671.407999999996</v>
      </c>
    </row>
    <row r="72" spans="1:4">
      <c r="A72" s="6" t="s">
        <v>91</v>
      </c>
      <c r="B72" s="21" t="s">
        <v>87</v>
      </c>
      <c r="C72" s="171"/>
      <c r="D72" s="173"/>
    </row>
    <row r="73" spans="1:4" ht="15" customHeight="1">
      <c r="A73" s="6" t="s">
        <v>92</v>
      </c>
      <c r="B73" s="21" t="s">
        <v>87</v>
      </c>
      <c r="C73" s="169"/>
      <c r="D73" s="174"/>
    </row>
    <row r="74" spans="1:4" ht="38.25" customHeight="1">
      <c r="A74" s="6" t="s">
        <v>143</v>
      </c>
      <c r="B74" s="22" t="s">
        <v>22</v>
      </c>
      <c r="C74" s="89">
        <v>4.3499999999999996</v>
      </c>
      <c r="D74" s="89">
        <f>C74*12*B8</f>
        <v>88771.319999999992</v>
      </c>
    </row>
    <row r="75" spans="1:4">
      <c r="A75" s="88" t="s">
        <v>56</v>
      </c>
      <c r="B75" s="23"/>
      <c r="C75" s="28">
        <f>C74+C71+C68+C61+C48+C44+C37+C30+C26+C19+C17+C16+C13</f>
        <v>21.619999999999997</v>
      </c>
      <c r="D75" s="28">
        <f>D74+D71+D68+D61+D48+D44+D37+D30+D26+D19+D17+D16+D13</f>
        <v>441207.77400000003</v>
      </c>
    </row>
    <row r="76" spans="1:4">
      <c r="C76" t="s">
        <v>201</v>
      </c>
    </row>
    <row r="77" spans="1:4">
      <c r="D77" s="40"/>
    </row>
    <row r="78" spans="1:4">
      <c r="D78" s="40"/>
    </row>
    <row r="79" spans="1:4">
      <c r="D79" s="40"/>
    </row>
    <row r="80" spans="1:4">
      <c r="D80" s="40"/>
    </row>
  </sheetData>
  <mergeCells count="33">
    <mergeCell ref="A70:D70"/>
    <mergeCell ref="C71:C73"/>
    <mergeCell ref="D71:D73"/>
    <mergeCell ref="A60:D60"/>
    <mergeCell ref="A68:A69"/>
    <mergeCell ref="B68:B69"/>
    <mergeCell ref="C68:C69"/>
    <mergeCell ref="D68:D69"/>
    <mergeCell ref="A67:D67"/>
    <mergeCell ref="C61:C66"/>
    <mergeCell ref="D61:D66"/>
    <mergeCell ref="A43:D43"/>
    <mergeCell ref="C44:C46"/>
    <mergeCell ref="D44:D46"/>
    <mergeCell ref="A47:D47"/>
    <mergeCell ref="C48:C59"/>
    <mergeCell ref="D48:D59"/>
    <mergeCell ref="C37:C42"/>
    <mergeCell ref="D37:D42"/>
    <mergeCell ref="A12:D12"/>
    <mergeCell ref="C19:C24"/>
    <mergeCell ref="D19:D24"/>
    <mergeCell ref="A25:D25"/>
    <mergeCell ref="C26:C27"/>
    <mergeCell ref="D26:D27"/>
    <mergeCell ref="A28:D28"/>
    <mergeCell ref="A29:D29"/>
    <mergeCell ref="C30:C35"/>
    <mergeCell ref="D30:D35"/>
    <mergeCell ref="A36:D36"/>
    <mergeCell ref="B13:B14"/>
    <mergeCell ref="C13:C14"/>
    <mergeCell ref="D13:D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81"/>
  <sheetViews>
    <sheetView topLeftCell="A7" workbookViewId="0">
      <selection activeCell="C78" sqref="C78:D79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  <col min="5" max="5" width="0.140625" customWidth="1"/>
  </cols>
  <sheetData>
    <row r="1" spans="1:5">
      <c r="A1" s="1" t="s">
        <v>0</v>
      </c>
      <c r="B1" s="2"/>
      <c r="C1" s="2"/>
      <c r="D1" s="2" t="s">
        <v>64</v>
      </c>
    </row>
    <row r="2" spans="1:5">
      <c r="A2" s="1" t="s">
        <v>214</v>
      </c>
      <c r="B2" s="2"/>
      <c r="C2" s="2"/>
      <c r="D2" s="2"/>
    </row>
    <row r="3" spans="1:5">
      <c r="A3" s="1" t="s">
        <v>285</v>
      </c>
      <c r="B3" s="2"/>
      <c r="C3" s="2"/>
      <c r="D3" s="2"/>
    </row>
    <row r="4" spans="1:5">
      <c r="A4" s="25" t="s">
        <v>58</v>
      </c>
      <c r="B4" s="2">
        <v>1987</v>
      </c>
      <c r="C4" s="2"/>
      <c r="D4" s="2"/>
    </row>
    <row r="5" spans="1:5">
      <c r="A5" s="25" t="s">
        <v>59</v>
      </c>
      <c r="B5" s="2">
        <v>4</v>
      </c>
      <c r="C5" s="2"/>
      <c r="D5" s="2"/>
    </row>
    <row r="6" spans="1:5">
      <c r="A6" s="25" t="s">
        <v>60</v>
      </c>
      <c r="B6" s="2">
        <v>1</v>
      </c>
      <c r="C6" s="2"/>
      <c r="D6" s="2"/>
    </row>
    <row r="7" spans="1:5">
      <c r="A7" s="25" t="s">
        <v>61</v>
      </c>
      <c r="B7" s="2">
        <v>31</v>
      </c>
      <c r="C7" s="2"/>
      <c r="D7" s="2"/>
    </row>
    <row r="8" spans="1:5">
      <c r="A8" s="25" t="s">
        <v>72</v>
      </c>
      <c r="B8" s="2">
        <v>1566.3</v>
      </c>
      <c r="C8" s="2"/>
      <c r="D8" s="2"/>
    </row>
    <row r="9" spans="1:5">
      <c r="A9" s="25" t="s">
        <v>62</v>
      </c>
      <c r="B9" s="2">
        <v>210.4</v>
      </c>
      <c r="C9" s="2"/>
      <c r="D9" s="2"/>
      <c r="E9">
        <f>B10+B8</f>
        <v>1673.8999999999999</v>
      </c>
    </row>
    <row r="10" spans="1:5">
      <c r="A10" s="25" t="s">
        <v>392</v>
      </c>
      <c r="B10" s="2">
        <v>107.6</v>
      </c>
      <c r="C10" s="2"/>
      <c r="D10" s="2"/>
    </row>
    <row r="11" spans="1:5">
      <c r="A11" s="25" t="s">
        <v>73</v>
      </c>
      <c r="B11" s="46">
        <v>512.29999999999995</v>
      </c>
      <c r="C11" s="2"/>
      <c r="D11" s="2"/>
    </row>
    <row r="12" spans="1:5" ht="36.75">
      <c r="A12" s="91" t="s">
        <v>1</v>
      </c>
      <c r="B12" s="91" t="s">
        <v>2</v>
      </c>
      <c r="C12" s="91" t="s">
        <v>3</v>
      </c>
      <c r="D12" s="91" t="s">
        <v>4</v>
      </c>
    </row>
    <row r="13" spans="1:5">
      <c r="A13" s="157" t="s">
        <v>5</v>
      </c>
      <c r="B13" s="158"/>
      <c r="C13" s="158"/>
      <c r="D13" s="159"/>
    </row>
    <row r="14" spans="1:5" ht="88.5" customHeight="1">
      <c r="A14" s="104" t="s">
        <v>6</v>
      </c>
      <c r="B14" s="160" t="s">
        <v>8</v>
      </c>
      <c r="C14" s="153">
        <v>1.02</v>
      </c>
      <c r="D14" s="163">
        <f>C14*12*E9</f>
        <v>20488.536</v>
      </c>
    </row>
    <row r="15" spans="1:5" ht="75.75" customHeight="1">
      <c r="A15" s="103" t="s">
        <v>89</v>
      </c>
      <c r="B15" s="161"/>
      <c r="C15" s="162"/>
      <c r="D15" s="164"/>
    </row>
    <row r="16" spans="1:5">
      <c r="A16" s="6" t="s">
        <v>9</v>
      </c>
      <c r="B16" s="141"/>
      <c r="C16" s="26"/>
      <c r="D16" s="30"/>
    </row>
    <row r="17" spans="1:4">
      <c r="A17" s="6" t="s">
        <v>360</v>
      </c>
      <c r="B17" s="141" t="s">
        <v>80</v>
      </c>
      <c r="C17" s="26">
        <v>0.03</v>
      </c>
      <c r="D17" s="30">
        <f>C17*12*E9</f>
        <v>602.60399999999993</v>
      </c>
    </row>
    <row r="18" spans="1:4" ht="13.5" customHeight="1">
      <c r="A18" s="39" t="s">
        <v>97</v>
      </c>
      <c r="B18" s="88"/>
      <c r="C18" s="88"/>
      <c r="D18" s="88"/>
    </row>
    <row r="19" spans="1:4" ht="13.5" customHeight="1">
      <c r="A19" s="6" t="s">
        <v>11</v>
      </c>
      <c r="B19" s="91" t="s">
        <v>75</v>
      </c>
      <c r="C19" s="152">
        <v>2.16</v>
      </c>
      <c r="D19" s="166">
        <f>C19*E9*12</f>
        <v>43387.487999999998</v>
      </c>
    </row>
    <row r="20" spans="1:4" ht="12.75" customHeight="1">
      <c r="A20" s="6" t="s">
        <v>12</v>
      </c>
      <c r="B20" s="91" t="s">
        <v>75</v>
      </c>
      <c r="C20" s="152"/>
      <c r="D20" s="155"/>
    </row>
    <row r="21" spans="1:4" ht="14.25" customHeight="1">
      <c r="A21" s="6" t="s">
        <v>13</v>
      </c>
      <c r="B21" s="91" t="s">
        <v>75</v>
      </c>
      <c r="C21" s="152"/>
      <c r="D21" s="155"/>
    </row>
    <row r="22" spans="1:4" ht="13.5" customHeight="1">
      <c r="A22" s="6" t="s">
        <v>14</v>
      </c>
      <c r="B22" s="91" t="s">
        <v>76</v>
      </c>
      <c r="C22" s="152"/>
      <c r="D22" s="155"/>
    </row>
    <row r="23" spans="1:4" ht="12.75" customHeight="1">
      <c r="A23" s="39" t="s">
        <v>93</v>
      </c>
      <c r="B23" s="91"/>
      <c r="C23" s="152"/>
      <c r="D23" s="155"/>
    </row>
    <row r="24" spans="1:4" ht="30" customHeight="1">
      <c r="A24" s="6" t="s">
        <v>15</v>
      </c>
      <c r="B24" s="91" t="s">
        <v>94</v>
      </c>
      <c r="C24" s="152"/>
      <c r="D24" s="156"/>
    </row>
    <row r="25" spans="1:4" ht="12.75" customHeight="1">
      <c r="A25" s="157" t="s">
        <v>16</v>
      </c>
      <c r="B25" s="158"/>
      <c r="C25" s="158"/>
      <c r="D25" s="159"/>
    </row>
    <row r="26" spans="1:4" ht="12" customHeight="1">
      <c r="A26" s="7" t="s">
        <v>17</v>
      </c>
      <c r="B26" s="21" t="s">
        <v>78</v>
      </c>
      <c r="C26" s="152">
        <v>0.2</v>
      </c>
      <c r="D26" s="167">
        <f>C26*E9*12</f>
        <v>4017.3599999999997</v>
      </c>
    </row>
    <row r="27" spans="1:4" ht="12" customHeight="1">
      <c r="A27" s="7" t="s">
        <v>18</v>
      </c>
      <c r="B27" s="21" t="s">
        <v>77</v>
      </c>
      <c r="C27" s="152"/>
      <c r="D27" s="167"/>
    </row>
    <row r="28" spans="1:4" ht="13.5" customHeight="1">
      <c r="A28" s="157" t="s">
        <v>19</v>
      </c>
      <c r="B28" s="158"/>
      <c r="C28" s="158"/>
      <c r="D28" s="159"/>
    </row>
    <row r="29" spans="1:4">
      <c r="A29" s="167" t="s">
        <v>20</v>
      </c>
      <c r="B29" s="167"/>
      <c r="C29" s="167"/>
      <c r="D29" s="167"/>
    </row>
    <row r="30" spans="1:4" ht="37.5" customHeight="1">
      <c r="A30" s="8" t="s">
        <v>21</v>
      </c>
      <c r="B30" s="22" t="s">
        <v>79</v>
      </c>
      <c r="C30" s="152">
        <v>0.52</v>
      </c>
      <c r="D30" s="154">
        <f>C30*E9*12</f>
        <v>10445.136</v>
      </c>
    </row>
    <row r="31" spans="1:4" ht="15" customHeight="1">
      <c r="A31" s="9" t="s">
        <v>23</v>
      </c>
      <c r="B31" s="23" t="s">
        <v>80</v>
      </c>
      <c r="C31" s="152"/>
      <c r="D31" s="155"/>
    </row>
    <row r="32" spans="1:4" ht="13.5" customHeight="1">
      <c r="A32" s="9" t="s">
        <v>25</v>
      </c>
      <c r="B32" s="23" t="s">
        <v>80</v>
      </c>
      <c r="C32" s="152"/>
      <c r="D32" s="155"/>
    </row>
    <row r="33" spans="1:4" ht="36" customHeight="1">
      <c r="A33" s="9" t="s">
        <v>26</v>
      </c>
      <c r="B33" s="22" t="s">
        <v>22</v>
      </c>
      <c r="C33" s="152"/>
      <c r="D33" s="155"/>
    </row>
    <row r="34" spans="1:4" ht="14.25" customHeight="1">
      <c r="A34" s="9" t="s">
        <v>27</v>
      </c>
      <c r="B34" s="22" t="s">
        <v>24</v>
      </c>
      <c r="C34" s="152"/>
      <c r="D34" s="155"/>
    </row>
    <row r="35" spans="1:4" ht="33.75" customHeight="1">
      <c r="A35" s="24" t="s">
        <v>28</v>
      </c>
      <c r="B35" s="22" t="s">
        <v>22</v>
      </c>
      <c r="C35" s="153"/>
      <c r="D35" s="156"/>
    </row>
    <row r="36" spans="1:4" ht="15.75" customHeight="1">
      <c r="A36" s="167" t="s">
        <v>65</v>
      </c>
      <c r="B36" s="167"/>
      <c r="C36" s="167"/>
      <c r="D36" s="167"/>
    </row>
    <row r="37" spans="1:4" ht="36.75" customHeight="1">
      <c r="A37" s="9" t="s">
        <v>66</v>
      </c>
      <c r="B37" s="22" t="s">
        <v>79</v>
      </c>
      <c r="C37" s="154">
        <v>1.19</v>
      </c>
      <c r="D37" s="152">
        <f>C37*E9*12</f>
        <v>23903.291999999998</v>
      </c>
    </row>
    <row r="38" spans="1:4" ht="14.25" customHeight="1">
      <c r="A38" s="9" t="s">
        <v>67</v>
      </c>
      <c r="B38" s="22" t="s">
        <v>80</v>
      </c>
      <c r="C38" s="154"/>
      <c r="D38" s="168"/>
    </row>
    <row r="39" spans="1:4" ht="14.25" customHeight="1">
      <c r="A39" s="9" t="s">
        <v>68</v>
      </c>
      <c r="B39" s="22" t="s">
        <v>80</v>
      </c>
      <c r="C39" s="154"/>
      <c r="D39" s="168"/>
    </row>
    <row r="40" spans="1:4" ht="24" customHeight="1">
      <c r="A40" s="9" t="s">
        <v>69</v>
      </c>
      <c r="B40" s="22" t="s">
        <v>79</v>
      </c>
      <c r="C40" s="154"/>
      <c r="D40" s="168"/>
    </row>
    <row r="41" spans="1:4" ht="25.5" customHeight="1">
      <c r="A41" s="10" t="s">
        <v>70</v>
      </c>
      <c r="B41" s="22" t="s">
        <v>79</v>
      </c>
      <c r="C41" s="154"/>
      <c r="D41" s="168"/>
    </row>
    <row r="42" spans="1:4" ht="14.25" customHeight="1">
      <c r="A42" s="9" t="s">
        <v>71</v>
      </c>
      <c r="B42" s="22" t="s">
        <v>24</v>
      </c>
      <c r="C42" s="154"/>
      <c r="D42" s="162"/>
    </row>
    <row r="43" spans="1:4" ht="11.25" customHeight="1">
      <c r="A43" s="169" t="s">
        <v>29</v>
      </c>
      <c r="B43" s="169"/>
      <c r="C43" s="169"/>
      <c r="D43" s="169"/>
    </row>
    <row r="44" spans="1:4" ht="35.25" customHeight="1">
      <c r="A44" s="9" t="s">
        <v>30</v>
      </c>
      <c r="B44" s="22" t="s">
        <v>22</v>
      </c>
      <c r="C44" s="154">
        <v>1.41</v>
      </c>
      <c r="D44" s="152">
        <f>C44*12*E9</f>
        <v>28322.387999999995</v>
      </c>
    </row>
    <row r="45" spans="1:4" ht="38.25" customHeight="1">
      <c r="A45" s="9" t="s">
        <v>31</v>
      </c>
      <c r="B45" s="22" t="s">
        <v>22</v>
      </c>
      <c r="C45" s="154"/>
      <c r="D45" s="152"/>
    </row>
    <row r="46" spans="1:4" ht="15" customHeight="1">
      <c r="A46" s="10" t="s">
        <v>32</v>
      </c>
      <c r="B46" s="22" t="s">
        <v>22</v>
      </c>
      <c r="C46" s="154"/>
      <c r="D46" s="152"/>
    </row>
    <row r="47" spans="1:4" ht="12.75" customHeight="1">
      <c r="A47" s="167" t="s">
        <v>33</v>
      </c>
      <c r="B47" s="167"/>
      <c r="C47" s="167"/>
      <c r="D47" s="167"/>
    </row>
    <row r="48" spans="1:4" ht="29.25" customHeight="1">
      <c r="A48" s="9" t="s">
        <v>34</v>
      </c>
      <c r="B48" s="22" t="s">
        <v>77</v>
      </c>
      <c r="C48" s="154">
        <v>3.84</v>
      </c>
      <c r="D48" s="154">
        <f>C48*12*E9</f>
        <v>77133.311999999991</v>
      </c>
    </row>
    <row r="49" spans="1:4" ht="14.25" customHeight="1">
      <c r="A49" s="9" t="s">
        <v>35</v>
      </c>
      <c r="B49" s="22" t="s">
        <v>81</v>
      </c>
      <c r="C49" s="154"/>
      <c r="D49" s="154"/>
    </row>
    <row r="50" spans="1:4" ht="17.25" customHeight="1">
      <c r="A50" s="9" t="s">
        <v>36</v>
      </c>
      <c r="B50" s="22" t="s">
        <v>81</v>
      </c>
      <c r="C50" s="154"/>
      <c r="D50" s="154"/>
    </row>
    <row r="51" spans="1:4" ht="24.75" customHeight="1">
      <c r="A51" s="9" t="s">
        <v>37</v>
      </c>
      <c r="B51" s="22" t="s">
        <v>82</v>
      </c>
      <c r="C51" s="154"/>
      <c r="D51" s="154"/>
    </row>
    <row r="52" spans="1:4" ht="30" customHeight="1">
      <c r="A52" s="9" t="s">
        <v>38</v>
      </c>
      <c r="B52" s="22" t="s">
        <v>82</v>
      </c>
      <c r="C52" s="154"/>
      <c r="D52" s="154"/>
    </row>
    <row r="53" spans="1:4" ht="12.75" customHeight="1">
      <c r="A53" s="88" t="s">
        <v>95</v>
      </c>
      <c r="B53" s="6"/>
      <c r="C53" s="154"/>
      <c r="D53" s="154"/>
    </row>
    <row r="54" spans="1:4" ht="35.25" customHeight="1">
      <c r="A54" s="9" t="s">
        <v>40</v>
      </c>
      <c r="B54" s="22" t="s">
        <v>79</v>
      </c>
      <c r="C54" s="154"/>
      <c r="D54" s="154"/>
    </row>
    <row r="55" spans="1:4" ht="14.25" customHeight="1">
      <c r="A55" s="9" t="s">
        <v>41</v>
      </c>
      <c r="B55" s="22" t="s">
        <v>80</v>
      </c>
      <c r="C55" s="154"/>
      <c r="D55" s="154"/>
    </row>
    <row r="56" spans="1:4" ht="14.25" customHeight="1">
      <c r="A56" s="9" t="s">
        <v>42</v>
      </c>
      <c r="B56" s="23" t="s">
        <v>80</v>
      </c>
      <c r="C56" s="154"/>
      <c r="D56" s="154"/>
    </row>
    <row r="57" spans="1:4" ht="13.5" customHeight="1">
      <c r="A57" s="9" t="s">
        <v>43</v>
      </c>
      <c r="B57" s="23" t="s">
        <v>80</v>
      </c>
      <c r="C57" s="154"/>
      <c r="D57" s="154"/>
    </row>
    <row r="58" spans="1:4" ht="13.5" customHeight="1">
      <c r="A58" s="9" t="s">
        <v>44</v>
      </c>
      <c r="B58" s="21" t="s">
        <v>212</v>
      </c>
      <c r="C58" s="154"/>
      <c r="D58" s="154"/>
    </row>
    <row r="59" spans="1:4" ht="36.75" customHeight="1">
      <c r="A59" s="10" t="s">
        <v>45</v>
      </c>
      <c r="B59" s="22" t="s">
        <v>22</v>
      </c>
      <c r="C59" s="154"/>
      <c r="D59" s="154"/>
    </row>
    <row r="60" spans="1:4">
      <c r="A60" s="167" t="s">
        <v>46</v>
      </c>
      <c r="B60" s="167"/>
      <c r="C60" s="167"/>
      <c r="D60" s="167"/>
    </row>
    <row r="61" spans="1:4" ht="15.75" customHeight="1">
      <c r="A61" s="9" t="s">
        <v>47</v>
      </c>
      <c r="B61" s="22" t="s">
        <v>83</v>
      </c>
      <c r="C61" s="153">
        <f>2.7-0.35</f>
        <v>2.35</v>
      </c>
      <c r="D61" s="166">
        <f>C61*E9*12-367.02</f>
        <v>46836.959999999999</v>
      </c>
    </row>
    <row r="62" spans="1:4" ht="12.75" customHeight="1">
      <c r="A62" s="9" t="s">
        <v>48</v>
      </c>
      <c r="B62" s="22" t="s">
        <v>83</v>
      </c>
      <c r="C62" s="168"/>
      <c r="D62" s="155"/>
    </row>
    <row r="63" spans="1:4" ht="15.75" customHeight="1">
      <c r="A63" s="9" t="s">
        <v>49</v>
      </c>
      <c r="B63" s="22" t="s">
        <v>83</v>
      </c>
      <c r="C63" s="168"/>
      <c r="D63" s="155"/>
    </row>
    <row r="64" spans="1:4" ht="16.5" customHeight="1">
      <c r="A64" s="9" t="s">
        <v>50</v>
      </c>
      <c r="B64" s="22" t="s">
        <v>83</v>
      </c>
      <c r="C64" s="168"/>
      <c r="D64" s="155"/>
    </row>
    <row r="65" spans="1:4" ht="36.75" customHeight="1">
      <c r="A65" s="10" t="s">
        <v>51</v>
      </c>
      <c r="B65" s="22" t="s">
        <v>22</v>
      </c>
      <c r="C65" s="168"/>
      <c r="D65" s="155"/>
    </row>
    <row r="66" spans="1:4" ht="16.5" customHeight="1">
      <c r="A66" s="10" t="s">
        <v>52</v>
      </c>
      <c r="B66" s="23" t="s">
        <v>84</v>
      </c>
      <c r="C66" s="162"/>
      <c r="D66" s="156"/>
    </row>
    <row r="67" spans="1:4">
      <c r="A67" s="157" t="s">
        <v>85</v>
      </c>
      <c r="B67" s="158"/>
      <c r="C67" s="158"/>
      <c r="D67" s="159"/>
    </row>
    <row r="68" spans="1:4" ht="26.25" customHeight="1">
      <c r="A68" s="175" t="s">
        <v>96</v>
      </c>
      <c r="B68" s="177" t="s">
        <v>86</v>
      </c>
      <c r="C68" s="152">
        <v>2.41</v>
      </c>
      <c r="D68" s="154">
        <f>C68*E9*12</f>
        <v>48409.187999999995</v>
      </c>
    </row>
    <row r="69" spans="1:4" ht="3.75" customHeight="1">
      <c r="A69" s="176"/>
      <c r="B69" s="177"/>
      <c r="C69" s="152"/>
      <c r="D69" s="154"/>
    </row>
    <row r="70" spans="1:4" ht="15" customHeight="1">
      <c r="A70" s="157" t="s">
        <v>55</v>
      </c>
      <c r="B70" s="158"/>
      <c r="C70" s="158"/>
      <c r="D70" s="159"/>
    </row>
    <row r="71" spans="1:4" ht="16.5" customHeight="1">
      <c r="A71" s="6" t="s">
        <v>90</v>
      </c>
      <c r="B71" s="21" t="s">
        <v>87</v>
      </c>
      <c r="C71" s="170">
        <v>2.14</v>
      </c>
      <c r="D71" s="172">
        <f>40170.56+C71*12*107.6</f>
        <v>42933.727999999996</v>
      </c>
    </row>
    <row r="72" spans="1:4">
      <c r="A72" s="6" t="s">
        <v>91</v>
      </c>
      <c r="B72" s="21" t="s">
        <v>87</v>
      </c>
      <c r="C72" s="171"/>
      <c r="D72" s="173"/>
    </row>
    <row r="73" spans="1:4" ht="15" customHeight="1">
      <c r="A73" s="6" t="s">
        <v>92</v>
      </c>
      <c r="B73" s="21" t="s">
        <v>87</v>
      </c>
      <c r="C73" s="169"/>
      <c r="D73" s="174"/>
    </row>
    <row r="74" spans="1:4" ht="38.25" customHeight="1">
      <c r="A74" s="6" t="s">
        <v>143</v>
      </c>
      <c r="B74" s="22" t="s">
        <v>22</v>
      </c>
      <c r="C74" s="89">
        <v>4.3499999999999996</v>
      </c>
      <c r="D74" s="89">
        <f>78915.72+C74*12*107.6</f>
        <v>84532.44</v>
      </c>
    </row>
    <row r="75" spans="1:4" ht="18" customHeight="1">
      <c r="A75" s="6" t="s">
        <v>215</v>
      </c>
      <c r="B75" s="22"/>
      <c r="C75" s="89"/>
      <c r="D75" s="89">
        <f>-52.5*15.13*12</f>
        <v>-9531.9000000000015</v>
      </c>
    </row>
    <row r="76" spans="1:4">
      <c r="A76" s="88" t="s">
        <v>56</v>
      </c>
      <c r="B76" s="23"/>
      <c r="C76" s="28">
        <f>C74+C71+C68+C61+C48+C44+C37+C30+C26+C19+C17+C14</f>
        <v>21.62</v>
      </c>
      <c r="D76" s="28">
        <f>D74+D71+D68+D61+D48+D44+D37+D30+D26+D19+D17+D14+D75</f>
        <v>421480.53199999995</v>
      </c>
    </row>
    <row r="77" spans="1:4">
      <c r="C77" t="s">
        <v>201</v>
      </c>
    </row>
    <row r="78" spans="1:4">
      <c r="D78" s="40"/>
    </row>
    <row r="79" spans="1:4">
      <c r="D79" s="40"/>
    </row>
    <row r="80" spans="1:4">
      <c r="D80" s="40"/>
    </row>
    <row r="81" spans="4:4">
      <c r="D81" s="40"/>
    </row>
  </sheetData>
  <mergeCells count="33">
    <mergeCell ref="A70:D70"/>
    <mergeCell ref="C71:C73"/>
    <mergeCell ref="D71:D73"/>
    <mergeCell ref="A60:D60"/>
    <mergeCell ref="A68:A69"/>
    <mergeCell ref="B68:B69"/>
    <mergeCell ref="C68:C69"/>
    <mergeCell ref="D68:D69"/>
    <mergeCell ref="A67:D67"/>
    <mergeCell ref="C61:C66"/>
    <mergeCell ref="D61:D66"/>
    <mergeCell ref="A43:D43"/>
    <mergeCell ref="C44:C46"/>
    <mergeCell ref="D44:D46"/>
    <mergeCell ref="A47:D47"/>
    <mergeCell ref="C48:C59"/>
    <mergeCell ref="D48:D59"/>
    <mergeCell ref="C37:C42"/>
    <mergeCell ref="D37:D42"/>
    <mergeCell ref="A13:D13"/>
    <mergeCell ref="C19:C24"/>
    <mergeCell ref="D19:D24"/>
    <mergeCell ref="A25:D25"/>
    <mergeCell ref="C26:C27"/>
    <mergeCell ref="D26:D27"/>
    <mergeCell ref="A28:D28"/>
    <mergeCell ref="A29:D29"/>
    <mergeCell ref="C30:C35"/>
    <mergeCell ref="D30:D35"/>
    <mergeCell ref="A36:D36"/>
    <mergeCell ref="B14:B15"/>
    <mergeCell ref="C14:C15"/>
    <mergeCell ref="D14:D1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83"/>
  <sheetViews>
    <sheetView topLeftCell="A16" workbookViewId="0">
      <selection activeCell="D73" sqref="D73:D75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211</v>
      </c>
      <c r="B2" s="2"/>
      <c r="C2" s="2"/>
      <c r="D2" s="2"/>
    </row>
    <row r="3" spans="1:4">
      <c r="A3" s="1" t="s">
        <v>282</v>
      </c>
      <c r="B3" s="2"/>
      <c r="C3" s="2"/>
      <c r="D3" s="2"/>
    </row>
    <row r="4" spans="1:4">
      <c r="A4" s="25" t="s">
        <v>58</v>
      </c>
      <c r="B4" s="2">
        <v>1982</v>
      </c>
      <c r="C4" s="2"/>
      <c r="D4" s="2"/>
    </row>
    <row r="5" spans="1:4">
      <c r="A5" s="25" t="s">
        <v>59</v>
      </c>
      <c r="B5" s="2">
        <v>4</v>
      </c>
      <c r="C5" s="2"/>
      <c r="D5" s="2"/>
    </row>
    <row r="6" spans="1:4">
      <c r="A6" s="25" t="s">
        <v>60</v>
      </c>
      <c r="B6" s="2">
        <v>6</v>
      </c>
      <c r="C6" s="2"/>
      <c r="D6" s="2"/>
    </row>
    <row r="7" spans="1:4">
      <c r="A7" s="25" t="s">
        <v>61</v>
      </c>
      <c r="B7" s="2">
        <v>72</v>
      </c>
      <c r="C7" s="2"/>
      <c r="D7" s="2"/>
    </row>
    <row r="8" spans="1:4">
      <c r="A8" s="25" t="s">
        <v>72</v>
      </c>
      <c r="B8" s="2">
        <v>3456</v>
      </c>
      <c r="C8" s="2"/>
      <c r="D8" s="2"/>
    </row>
    <row r="9" spans="1:4">
      <c r="A9" s="25" t="s">
        <v>62</v>
      </c>
      <c r="B9" s="2">
        <v>355</v>
      </c>
      <c r="C9" s="2"/>
      <c r="D9" s="2"/>
    </row>
    <row r="10" spans="1:4">
      <c r="A10" s="25" t="s">
        <v>73</v>
      </c>
      <c r="B10" s="46">
        <v>897.6</v>
      </c>
      <c r="C10" s="2"/>
      <c r="D10" s="2"/>
    </row>
    <row r="11" spans="1:4" ht="36.75">
      <c r="A11" s="91" t="s">
        <v>1</v>
      </c>
      <c r="B11" s="91" t="s">
        <v>2</v>
      </c>
      <c r="C11" s="91" t="s">
        <v>3</v>
      </c>
      <c r="D11" s="91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1.02</v>
      </c>
      <c r="D13" s="163">
        <f>C13*12*B8</f>
        <v>42301.440000000002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6" t="s">
        <v>9</v>
      </c>
      <c r="B15" s="91"/>
      <c r="C15" s="26"/>
      <c r="D15" s="30"/>
    </row>
    <row r="16" spans="1:4">
      <c r="A16" s="6" t="s">
        <v>358</v>
      </c>
      <c r="B16" s="141" t="s">
        <v>88</v>
      </c>
      <c r="C16" s="26">
        <v>0.03</v>
      </c>
      <c r="D16" s="30">
        <f>C16*12*B8</f>
        <v>1244.1599999999999</v>
      </c>
    </row>
    <row r="17" spans="1:4">
      <c r="A17" s="6" t="s">
        <v>359</v>
      </c>
      <c r="B17" s="141" t="s">
        <v>80</v>
      </c>
      <c r="C17" s="26">
        <v>0.78</v>
      </c>
      <c r="D17" s="30">
        <f>C17*12*B8</f>
        <v>32348.159999999996</v>
      </c>
    </row>
    <row r="18" spans="1:4" ht="13.5" customHeight="1">
      <c r="A18" s="39" t="s">
        <v>97</v>
      </c>
      <c r="B18" s="88"/>
      <c r="C18" s="88"/>
      <c r="D18" s="88"/>
    </row>
    <row r="19" spans="1:4" ht="13.5" customHeight="1">
      <c r="A19" s="6" t="s">
        <v>11</v>
      </c>
      <c r="B19" s="91" t="s">
        <v>75</v>
      </c>
      <c r="C19" s="152">
        <v>2.16</v>
      </c>
      <c r="D19" s="166">
        <f>C19*B8*12</f>
        <v>89579.520000000019</v>
      </c>
    </row>
    <row r="20" spans="1:4" ht="12.75" customHeight="1">
      <c r="A20" s="6" t="s">
        <v>12</v>
      </c>
      <c r="B20" s="91" t="s">
        <v>75</v>
      </c>
      <c r="C20" s="152"/>
      <c r="D20" s="155"/>
    </row>
    <row r="21" spans="1:4" ht="14.25" customHeight="1">
      <c r="A21" s="6" t="s">
        <v>13</v>
      </c>
      <c r="B21" s="91" t="s">
        <v>75</v>
      </c>
      <c r="C21" s="152"/>
      <c r="D21" s="155"/>
    </row>
    <row r="22" spans="1:4" ht="13.5" customHeight="1">
      <c r="A22" s="6" t="s">
        <v>14</v>
      </c>
      <c r="B22" s="91" t="s">
        <v>76</v>
      </c>
      <c r="C22" s="152"/>
      <c r="D22" s="155"/>
    </row>
    <row r="23" spans="1:4" ht="12.75" customHeight="1">
      <c r="A23" s="39" t="s">
        <v>93</v>
      </c>
      <c r="B23" s="91"/>
      <c r="C23" s="152"/>
      <c r="D23" s="155"/>
    </row>
    <row r="24" spans="1:4" ht="30" customHeight="1">
      <c r="A24" s="6" t="s">
        <v>15</v>
      </c>
      <c r="B24" s="91" t="s">
        <v>94</v>
      </c>
      <c r="C24" s="152"/>
      <c r="D24" s="156"/>
    </row>
    <row r="25" spans="1:4" ht="12.75" customHeight="1">
      <c r="A25" s="157" t="s">
        <v>16</v>
      </c>
      <c r="B25" s="158"/>
      <c r="C25" s="158"/>
      <c r="D25" s="159"/>
    </row>
    <row r="26" spans="1:4" ht="12" customHeight="1">
      <c r="A26" s="7" t="s">
        <v>17</v>
      </c>
      <c r="B26" s="21" t="s">
        <v>78</v>
      </c>
      <c r="C26" s="152">
        <v>0.2</v>
      </c>
      <c r="D26" s="167">
        <f>C26*B8*12</f>
        <v>8294.4000000000015</v>
      </c>
    </row>
    <row r="27" spans="1:4" ht="12" customHeight="1">
      <c r="A27" s="7" t="s">
        <v>18</v>
      </c>
      <c r="B27" s="21" t="s">
        <v>77</v>
      </c>
      <c r="C27" s="152"/>
      <c r="D27" s="167"/>
    </row>
    <row r="28" spans="1:4" ht="13.5" customHeight="1">
      <c r="A28" s="157" t="s">
        <v>19</v>
      </c>
      <c r="B28" s="158"/>
      <c r="C28" s="158"/>
      <c r="D28" s="159"/>
    </row>
    <row r="29" spans="1:4">
      <c r="A29" s="167" t="s">
        <v>20</v>
      </c>
      <c r="B29" s="167"/>
      <c r="C29" s="167"/>
      <c r="D29" s="167"/>
    </row>
    <row r="30" spans="1:4" ht="37.5" customHeight="1">
      <c r="A30" s="8" t="s">
        <v>21</v>
      </c>
      <c r="B30" s="22" t="s">
        <v>79</v>
      </c>
      <c r="C30" s="152">
        <v>0.52</v>
      </c>
      <c r="D30" s="154">
        <f>C30*B8*12</f>
        <v>21565.440000000002</v>
      </c>
    </row>
    <row r="31" spans="1:4" ht="15" customHeight="1">
      <c r="A31" s="9" t="s">
        <v>23</v>
      </c>
      <c r="B31" s="23" t="s">
        <v>80</v>
      </c>
      <c r="C31" s="152"/>
      <c r="D31" s="155"/>
    </row>
    <row r="32" spans="1:4" ht="13.5" customHeight="1">
      <c r="A32" s="9" t="s">
        <v>25</v>
      </c>
      <c r="B32" s="23" t="s">
        <v>80</v>
      </c>
      <c r="C32" s="152"/>
      <c r="D32" s="155"/>
    </row>
    <row r="33" spans="1:4" ht="36" customHeight="1">
      <c r="A33" s="9" t="s">
        <v>26</v>
      </c>
      <c r="B33" s="22" t="s">
        <v>22</v>
      </c>
      <c r="C33" s="152"/>
      <c r="D33" s="155"/>
    </row>
    <row r="34" spans="1:4" ht="14.25" customHeight="1">
      <c r="A34" s="9" t="s">
        <v>27</v>
      </c>
      <c r="B34" s="22" t="s">
        <v>24</v>
      </c>
      <c r="C34" s="152"/>
      <c r="D34" s="155"/>
    </row>
    <row r="35" spans="1:4" ht="33.75" customHeight="1">
      <c r="A35" s="24" t="s">
        <v>28</v>
      </c>
      <c r="B35" s="22" t="s">
        <v>22</v>
      </c>
      <c r="C35" s="153"/>
      <c r="D35" s="156"/>
    </row>
    <row r="36" spans="1:4" ht="15.75" customHeight="1">
      <c r="A36" s="167" t="s">
        <v>65</v>
      </c>
      <c r="B36" s="167"/>
      <c r="C36" s="167"/>
      <c r="D36" s="167"/>
    </row>
    <row r="37" spans="1:4" ht="36.75" customHeight="1">
      <c r="A37" s="9" t="s">
        <v>66</v>
      </c>
      <c r="B37" s="22" t="s">
        <v>79</v>
      </c>
      <c r="C37" s="154">
        <v>1.19</v>
      </c>
      <c r="D37" s="152">
        <f>C37*B8*12</f>
        <v>49351.679999999993</v>
      </c>
    </row>
    <row r="38" spans="1:4" ht="14.25" customHeight="1">
      <c r="A38" s="9" t="s">
        <v>67</v>
      </c>
      <c r="B38" s="22" t="s">
        <v>80</v>
      </c>
      <c r="C38" s="154"/>
      <c r="D38" s="168"/>
    </row>
    <row r="39" spans="1:4" ht="14.25" customHeight="1">
      <c r="A39" s="9" t="s">
        <v>68</v>
      </c>
      <c r="B39" s="22" t="s">
        <v>80</v>
      </c>
      <c r="C39" s="154"/>
      <c r="D39" s="168"/>
    </row>
    <row r="40" spans="1:4" ht="24" customHeight="1">
      <c r="A40" s="9" t="s">
        <v>69</v>
      </c>
      <c r="B40" s="22" t="s">
        <v>79</v>
      </c>
      <c r="C40" s="154"/>
      <c r="D40" s="168"/>
    </row>
    <row r="41" spans="1:4" ht="25.5" customHeight="1">
      <c r="A41" s="10" t="s">
        <v>70</v>
      </c>
      <c r="B41" s="22" t="s">
        <v>79</v>
      </c>
      <c r="C41" s="154"/>
      <c r="D41" s="168"/>
    </row>
    <row r="42" spans="1:4" ht="14.25" customHeight="1">
      <c r="A42" s="9" t="s">
        <v>71</v>
      </c>
      <c r="B42" s="22" t="s">
        <v>24</v>
      </c>
      <c r="C42" s="154"/>
      <c r="D42" s="162"/>
    </row>
    <row r="43" spans="1:4" ht="11.25" customHeight="1">
      <c r="A43" s="169" t="s">
        <v>29</v>
      </c>
      <c r="B43" s="169"/>
      <c r="C43" s="169"/>
      <c r="D43" s="169"/>
    </row>
    <row r="44" spans="1:4" ht="35.25" customHeight="1">
      <c r="A44" s="9" t="s">
        <v>30</v>
      </c>
      <c r="B44" s="22" t="s">
        <v>22</v>
      </c>
      <c r="C44" s="154">
        <v>0.81</v>
      </c>
      <c r="D44" s="152">
        <f>C44*12*B8</f>
        <v>33592.32</v>
      </c>
    </row>
    <row r="45" spans="1:4" ht="38.25" customHeight="1">
      <c r="A45" s="9" t="s">
        <v>31</v>
      </c>
      <c r="B45" s="22" t="s">
        <v>22</v>
      </c>
      <c r="C45" s="154"/>
      <c r="D45" s="152"/>
    </row>
    <row r="46" spans="1:4" ht="15" customHeight="1">
      <c r="A46" s="10" t="s">
        <v>32</v>
      </c>
      <c r="B46" s="22" t="s">
        <v>22</v>
      </c>
      <c r="C46" s="154"/>
      <c r="D46" s="152"/>
    </row>
    <row r="47" spans="1:4" ht="12.75" customHeight="1">
      <c r="A47" s="167" t="s">
        <v>33</v>
      </c>
      <c r="B47" s="167"/>
      <c r="C47" s="167"/>
      <c r="D47" s="167"/>
    </row>
    <row r="48" spans="1:4" ht="29.25" customHeight="1">
      <c r="A48" s="9" t="s">
        <v>34</v>
      </c>
      <c r="B48" s="22" t="s">
        <v>77</v>
      </c>
      <c r="C48" s="154">
        <v>3.62</v>
      </c>
      <c r="D48" s="154">
        <f>C48*12*B8</f>
        <v>150128.63999999998</v>
      </c>
    </row>
    <row r="49" spans="1:4" ht="14.25" customHeight="1">
      <c r="A49" s="9" t="s">
        <v>35</v>
      </c>
      <c r="B49" s="22" t="s">
        <v>81</v>
      </c>
      <c r="C49" s="154"/>
      <c r="D49" s="154"/>
    </row>
    <row r="50" spans="1:4" ht="17.25" customHeight="1">
      <c r="A50" s="9" t="s">
        <v>36</v>
      </c>
      <c r="B50" s="22" t="s">
        <v>81</v>
      </c>
      <c r="C50" s="154"/>
      <c r="D50" s="154"/>
    </row>
    <row r="51" spans="1:4" ht="24.75" customHeight="1">
      <c r="A51" s="9" t="s">
        <v>37</v>
      </c>
      <c r="B51" s="22" t="s">
        <v>82</v>
      </c>
      <c r="C51" s="154"/>
      <c r="D51" s="154"/>
    </row>
    <row r="52" spans="1:4" ht="30" customHeight="1">
      <c r="A52" s="9" t="s">
        <v>38</v>
      </c>
      <c r="B52" s="22" t="s">
        <v>82</v>
      </c>
      <c r="C52" s="154"/>
      <c r="D52" s="154"/>
    </row>
    <row r="53" spans="1:4" ht="12.75" customHeight="1">
      <c r="A53" s="88" t="s">
        <v>95</v>
      </c>
      <c r="B53" s="6"/>
      <c r="C53" s="154"/>
      <c r="D53" s="154"/>
    </row>
    <row r="54" spans="1:4" ht="35.25" customHeight="1">
      <c r="A54" s="9" t="s">
        <v>40</v>
      </c>
      <c r="B54" s="22" t="s">
        <v>79</v>
      </c>
      <c r="C54" s="154"/>
      <c r="D54" s="154"/>
    </row>
    <row r="55" spans="1:4" ht="14.25" customHeight="1">
      <c r="A55" s="9" t="s">
        <v>41</v>
      </c>
      <c r="B55" s="22" t="s">
        <v>80</v>
      </c>
      <c r="C55" s="154"/>
      <c r="D55" s="154"/>
    </row>
    <row r="56" spans="1:4" ht="14.25" customHeight="1">
      <c r="A56" s="9" t="s">
        <v>42</v>
      </c>
      <c r="B56" s="23" t="s">
        <v>80</v>
      </c>
      <c r="C56" s="154"/>
      <c r="D56" s="154"/>
    </row>
    <row r="57" spans="1:4" ht="13.5" customHeight="1">
      <c r="A57" s="9" t="s">
        <v>43</v>
      </c>
      <c r="B57" s="23" t="s">
        <v>80</v>
      </c>
      <c r="C57" s="154"/>
      <c r="D57" s="154"/>
    </row>
    <row r="58" spans="1:4" ht="13.5" customHeight="1">
      <c r="A58" s="9" t="s">
        <v>44</v>
      </c>
      <c r="B58" s="21" t="s">
        <v>212</v>
      </c>
      <c r="C58" s="154"/>
      <c r="D58" s="154"/>
    </row>
    <row r="59" spans="1:4" ht="36.75" customHeight="1">
      <c r="A59" s="10" t="s">
        <v>45</v>
      </c>
      <c r="B59" s="22" t="s">
        <v>22</v>
      </c>
      <c r="C59" s="154"/>
      <c r="D59" s="154"/>
    </row>
    <row r="60" spans="1:4">
      <c r="A60" s="167" t="s">
        <v>46</v>
      </c>
      <c r="B60" s="167"/>
      <c r="C60" s="167"/>
      <c r="D60" s="167"/>
    </row>
    <row r="61" spans="1:4" ht="15.75" customHeight="1">
      <c r="A61" s="9" t="s">
        <v>47</v>
      </c>
      <c r="B61" s="22" t="s">
        <v>83</v>
      </c>
      <c r="C61" s="153">
        <f>1.17+0.69</f>
        <v>1.8599999999999999</v>
      </c>
      <c r="D61" s="179">
        <f>C61*B8*12+241.56</f>
        <v>77379.48</v>
      </c>
    </row>
    <row r="62" spans="1:4" ht="12.75" customHeight="1">
      <c r="A62" s="9" t="s">
        <v>48</v>
      </c>
      <c r="B62" s="22" t="s">
        <v>83</v>
      </c>
      <c r="C62" s="168"/>
      <c r="D62" s="180"/>
    </row>
    <row r="63" spans="1:4" ht="29.25" customHeight="1">
      <c r="A63" s="9" t="s">
        <v>49</v>
      </c>
      <c r="B63" s="22" t="s">
        <v>83</v>
      </c>
      <c r="C63" s="168"/>
      <c r="D63" s="180"/>
    </row>
    <row r="64" spans="1:4" ht="16.5" customHeight="1">
      <c r="A64" s="9" t="s">
        <v>50</v>
      </c>
      <c r="B64" s="22" t="s">
        <v>83</v>
      </c>
      <c r="C64" s="168"/>
      <c r="D64" s="180"/>
    </row>
    <row r="65" spans="1:4" ht="36.75" customHeight="1">
      <c r="A65" s="10" t="s">
        <v>51</v>
      </c>
      <c r="B65" s="22" t="s">
        <v>22</v>
      </c>
      <c r="C65" s="168"/>
      <c r="D65" s="180"/>
    </row>
    <row r="66" spans="1:4" ht="16.5" customHeight="1">
      <c r="A66" s="10" t="s">
        <v>52</v>
      </c>
      <c r="B66" s="23" t="s">
        <v>84</v>
      </c>
      <c r="C66" s="168"/>
      <c r="D66" s="180"/>
    </row>
    <row r="67" spans="1:4" ht="16.5" customHeight="1">
      <c r="A67" s="53" t="s">
        <v>115</v>
      </c>
      <c r="B67" s="23" t="s">
        <v>116</v>
      </c>
      <c r="C67" s="162"/>
      <c r="D67" s="181"/>
    </row>
    <row r="68" spans="1:4" ht="16.5" customHeight="1">
      <c r="A68" s="53" t="s">
        <v>115</v>
      </c>
      <c r="B68" s="23" t="s">
        <v>116</v>
      </c>
      <c r="C68" s="87">
        <v>0.53</v>
      </c>
      <c r="D68" s="90">
        <v>21977.96</v>
      </c>
    </row>
    <row r="69" spans="1:4">
      <c r="A69" s="157" t="s">
        <v>85</v>
      </c>
      <c r="B69" s="158"/>
      <c r="C69" s="158"/>
      <c r="D69" s="159"/>
    </row>
    <row r="70" spans="1:4" ht="26.25" customHeight="1">
      <c r="A70" s="175" t="s">
        <v>96</v>
      </c>
      <c r="B70" s="177" t="s">
        <v>86</v>
      </c>
      <c r="C70" s="152">
        <v>2.41</v>
      </c>
      <c r="D70" s="154">
        <f>C70*B8*12</f>
        <v>99947.520000000019</v>
      </c>
    </row>
    <row r="71" spans="1:4" ht="3.75" customHeight="1">
      <c r="A71" s="176"/>
      <c r="B71" s="177"/>
      <c r="C71" s="152"/>
      <c r="D71" s="154"/>
    </row>
    <row r="72" spans="1:4" ht="15" customHeight="1">
      <c r="A72" s="157" t="s">
        <v>55</v>
      </c>
      <c r="B72" s="158"/>
      <c r="C72" s="158"/>
      <c r="D72" s="159"/>
    </row>
    <row r="73" spans="1:4" ht="16.5" customHeight="1">
      <c r="A73" s="6" t="s">
        <v>90</v>
      </c>
      <c r="B73" s="21" t="s">
        <v>87</v>
      </c>
      <c r="C73" s="170">
        <v>2.14</v>
      </c>
      <c r="D73" s="172">
        <v>88740.24</v>
      </c>
    </row>
    <row r="74" spans="1:4">
      <c r="A74" s="6" t="s">
        <v>91</v>
      </c>
      <c r="B74" s="21" t="s">
        <v>87</v>
      </c>
      <c r="C74" s="171"/>
      <c r="D74" s="173"/>
    </row>
    <row r="75" spans="1:4" ht="15" customHeight="1">
      <c r="A75" s="6" t="s">
        <v>92</v>
      </c>
      <c r="B75" s="21" t="s">
        <v>87</v>
      </c>
      <c r="C75" s="169"/>
      <c r="D75" s="174"/>
    </row>
    <row r="76" spans="1:4" ht="38.25" customHeight="1">
      <c r="A76" s="6" t="s">
        <v>143</v>
      </c>
      <c r="B76" s="22" t="s">
        <v>22</v>
      </c>
      <c r="C76" s="89">
        <v>4.3499999999999996</v>
      </c>
      <c r="D76" s="89">
        <v>177826.68</v>
      </c>
    </row>
    <row r="77" spans="1:4" ht="18" customHeight="1">
      <c r="A77" s="6" t="s">
        <v>213</v>
      </c>
      <c r="B77" s="22"/>
      <c r="C77" s="89"/>
      <c r="D77" s="89">
        <f>-49*12*15.13</f>
        <v>-8896.44</v>
      </c>
    </row>
    <row r="78" spans="1:4">
      <c r="A78" s="88" t="s">
        <v>56</v>
      </c>
      <c r="B78" s="23"/>
      <c r="C78" s="28">
        <f>C76+C73+C70+C68+C61+C48+C44+C37+C30+C26+C19+C17+C16+C13</f>
        <v>21.62</v>
      </c>
      <c r="D78" s="28">
        <f>D76+D73+D70+D68+D61+D48+D44+D37+D30+D26+D19+D17+D16+D13+D77</f>
        <v>885381.20000000019</v>
      </c>
    </row>
    <row r="79" spans="1:4">
      <c r="C79" t="s">
        <v>201</v>
      </c>
    </row>
    <row r="82" spans="4:4">
      <c r="D82" s="40"/>
    </row>
    <row r="83" spans="4:4">
      <c r="D83" s="40"/>
    </row>
  </sheetData>
  <mergeCells count="33">
    <mergeCell ref="A72:D72"/>
    <mergeCell ref="C73:C75"/>
    <mergeCell ref="D73:D75"/>
    <mergeCell ref="C61:C67"/>
    <mergeCell ref="D61:D67"/>
    <mergeCell ref="A60:D60"/>
    <mergeCell ref="A70:A71"/>
    <mergeCell ref="B70:B71"/>
    <mergeCell ref="C70:C71"/>
    <mergeCell ref="D70:D71"/>
    <mergeCell ref="A69:D69"/>
    <mergeCell ref="A43:D43"/>
    <mergeCell ref="C44:C46"/>
    <mergeCell ref="D44:D46"/>
    <mergeCell ref="A47:D47"/>
    <mergeCell ref="C48:C59"/>
    <mergeCell ref="D48:D59"/>
    <mergeCell ref="C37:C42"/>
    <mergeCell ref="D37:D42"/>
    <mergeCell ref="A12:D12"/>
    <mergeCell ref="C19:C24"/>
    <mergeCell ref="D19:D24"/>
    <mergeCell ref="A25:D25"/>
    <mergeCell ref="C26:C27"/>
    <mergeCell ref="D26:D27"/>
    <mergeCell ref="A28:D28"/>
    <mergeCell ref="A29:D29"/>
    <mergeCell ref="C30:C35"/>
    <mergeCell ref="D30:D35"/>
    <mergeCell ref="A36:D36"/>
    <mergeCell ref="B13:B14"/>
    <mergeCell ref="C13:C14"/>
    <mergeCell ref="D13:D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78"/>
  <sheetViews>
    <sheetView topLeftCell="A34" workbookViewId="0">
      <selection activeCell="C76" sqref="C76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209</v>
      </c>
      <c r="B2" s="2"/>
      <c r="C2" s="2"/>
      <c r="D2" s="2"/>
    </row>
    <row r="3" spans="1:4">
      <c r="A3" s="1" t="s">
        <v>282</v>
      </c>
      <c r="B3" s="2"/>
      <c r="C3" s="2"/>
      <c r="D3" s="2"/>
    </row>
    <row r="4" spans="1:4">
      <c r="A4" s="25" t="s">
        <v>58</v>
      </c>
      <c r="B4" s="2">
        <v>2011</v>
      </c>
      <c r="C4" s="2"/>
      <c r="D4" s="2"/>
    </row>
    <row r="5" spans="1:4">
      <c r="A5" s="25" t="s">
        <v>59</v>
      </c>
      <c r="B5" s="2">
        <v>3</v>
      </c>
      <c r="C5" s="2"/>
      <c r="D5" s="2"/>
    </row>
    <row r="6" spans="1:4">
      <c r="A6" s="25" t="s">
        <v>60</v>
      </c>
      <c r="B6" s="2">
        <v>2</v>
      </c>
      <c r="C6" s="2"/>
      <c r="D6" s="2"/>
    </row>
    <row r="7" spans="1:4">
      <c r="A7" s="25" t="s">
        <v>61</v>
      </c>
      <c r="B7" s="2">
        <v>24</v>
      </c>
      <c r="C7" s="2"/>
      <c r="D7" s="2"/>
    </row>
    <row r="8" spans="1:4">
      <c r="A8" s="25" t="s">
        <v>72</v>
      </c>
      <c r="B8" s="2">
        <v>842.7</v>
      </c>
      <c r="C8" s="2"/>
      <c r="D8" s="2"/>
    </row>
    <row r="9" spans="1:4">
      <c r="A9" s="25" t="s">
        <v>62</v>
      </c>
      <c r="B9" s="2">
        <v>191.5</v>
      </c>
      <c r="C9" s="2"/>
      <c r="D9" s="2"/>
    </row>
    <row r="10" spans="1:4">
      <c r="A10" s="25" t="s">
        <v>73</v>
      </c>
      <c r="B10" s="46" t="s">
        <v>100</v>
      </c>
      <c r="C10" s="2"/>
      <c r="D10" s="2"/>
    </row>
    <row r="11" spans="1:4" ht="36.75">
      <c r="A11" s="91" t="s">
        <v>1</v>
      </c>
      <c r="B11" s="91" t="s">
        <v>2</v>
      </c>
      <c r="C11" s="91" t="s">
        <v>3</v>
      </c>
      <c r="D11" s="91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1.04</v>
      </c>
      <c r="D13" s="163">
        <f>C13*12*B8</f>
        <v>10516.896000000001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165" t="s">
        <v>10</v>
      </c>
      <c r="B15" s="165"/>
      <c r="C15" s="165"/>
      <c r="D15" s="165"/>
    </row>
    <row r="16" spans="1:4" ht="13.5" customHeight="1">
      <c r="A16" s="39" t="s">
        <v>97</v>
      </c>
      <c r="B16" s="88"/>
      <c r="C16" s="88"/>
      <c r="D16" s="88"/>
    </row>
    <row r="17" spans="1:4" ht="13.5" customHeight="1">
      <c r="A17" s="6" t="s">
        <v>11</v>
      </c>
      <c r="B17" s="91" t="s">
        <v>75</v>
      </c>
      <c r="C17" s="152">
        <v>2.16</v>
      </c>
      <c r="D17" s="166">
        <f>C17*12*B8</f>
        <v>21842.784000000003</v>
      </c>
    </row>
    <row r="18" spans="1:4" ht="12.75" customHeight="1">
      <c r="A18" s="6" t="s">
        <v>12</v>
      </c>
      <c r="B18" s="91" t="s">
        <v>75</v>
      </c>
      <c r="C18" s="152"/>
      <c r="D18" s="155"/>
    </row>
    <row r="19" spans="1:4" ht="14.25" customHeight="1">
      <c r="A19" s="6" t="s">
        <v>13</v>
      </c>
      <c r="B19" s="91" t="s">
        <v>75</v>
      </c>
      <c r="C19" s="152"/>
      <c r="D19" s="155"/>
    </row>
    <row r="20" spans="1:4" ht="13.5" customHeight="1">
      <c r="A20" s="6" t="s">
        <v>14</v>
      </c>
      <c r="B20" s="91" t="s">
        <v>76</v>
      </c>
      <c r="C20" s="152"/>
      <c r="D20" s="155"/>
    </row>
    <row r="21" spans="1:4" ht="12.75" customHeight="1">
      <c r="A21" s="39" t="s">
        <v>93</v>
      </c>
      <c r="B21" s="91"/>
      <c r="C21" s="152"/>
      <c r="D21" s="155"/>
    </row>
    <row r="22" spans="1:4" ht="30" customHeight="1">
      <c r="A22" s="6" t="s">
        <v>15</v>
      </c>
      <c r="B22" s="91" t="s">
        <v>94</v>
      </c>
      <c r="C22" s="152"/>
      <c r="D22" s="156"/>
    </row>
    <row r="23" spans="1:4" ht="12.75" customHeight="1">
      <c r="A23" s="157" t="s">
        <v>16</v>
      </c>
      <c r="B23" s="158"/>
      <c r="C23" s="158"/>
      <c r="D23" s="159"/>
    </row>
    <row r="24" spans="1:4" ht="12" customHeight="1">
      <c r="A24" s="7" t="s">
        <v>17</v>
      </c>
      <c r="B24" s="21" t="s">
        <v>78</v>
      </c>
      <c r="C24" s="152">
        <v>0.2</v>
      </c>
      <c r="D24" s="167">
        <f>C24*12*B8</f>
        <v>2022.4800000000005</v>
      </c>
    </row>
    <row r="25" spans="1:4" ht="12" customHeight="1">
      <c r="A25" s="7" t="s">
        <v>18</v>
      </c>
      <c r="B25" s="21" t="s">
        <v>77</v>
      </c>
      <c r="C25" s="152"/>
      <c r="D25" s="167"/>
    </row>
    <row r="26" spans="1:4" ht="13.5" customHeight="1">
      <c r="A26" s="157" t="s">
        <v>19</v>
      </c>
      <c r="B26" s="158"/>
      <c r="C26" s="158"/>
      <c r="D26" s="159"/>
    </row>
    <row r="27" spans="1:4">
      <c r="A27" s="167" t="s">
        <v>20</v>
      </c>
      <c r="B27" s="167"/>
      <c r="C27" s="167"/>
      <c r="D27" s="167"/>
    </row>
    <row r="28" spans="1:4" ht="37.5" customHeight="1">
      <c r="A28" s="8" t="s">
        <v>21</v>
      </c>
      <c r="B28" s="22" t="s">
        <v>79</v>
      </c>
      <c r="C28" s="152">
        <v>0.79</v>
      </c>
      <c r="D28" s="154">
        <f>C28*12*B8</f>
        <v>7988.7960000000012</v>
      </c>
    </row>
    <row r="29" spans="1:4" ht="15" customHeight="1">
      <c r="A29" s="9" t="s">
        <v>23</v>
      </c>
      <c r="B29" s="23" t="s">
        <v>80</v>
      </c>
      <c r="C29" s="152"/>
      <c r="D29" s="155"/>
    </row>
    <row r="30" spans="1:4" ht="13.5" customHeight="1">
      <c r="A30" s="9" t="s">
        <v>25</v>
      </c>
      <c r="B30" s="23" t="s">
        <v>80</v>
      </c>
      <c r="C30" s="152"/>
      <c r="D30" s="155"/>
    </row>
    <row r="31" spans="1:4" ht="36" customHeight="1">
      <c r="A31" s="9" t="s">
        <v>26</v>
      </c>
      <c r="B31" s="22" t="s">
        <v>22</v>
      </c>
      <c r="C31" s="152"/>
      <c r="D31" s="155"/>
    </row>
    <row r="32" spans="1:4" ht="14.25" customHeight="1">
      <c r="A32" s="9" t="s">
        <v>27</v>
      </c>
      <c r="B32" s="22" t="s">
        <v>24</v>
      </c>
      <c r="C32" s="152"/>
      <c r="D32" s="155"/>
    </row>
    <row r="33" spans="1:4" ht="33.75" customHeight="1">
      <c r="A33" s="24" t="s">
        <v>28</v>
      </c>
      <c r="B33" s="22" t="s">
        <v>22</v>
      </c>
      <c r="C33" s="153"/>
      <c r="D33" s="156"/>
    </row>
    <row r="34" spans="1:4" ht="15.75" customHeight="1">
      <c r="A34" s="167" t="s">
        <v>65</v>
      </c>
      <c r="B34" s="167"/>
      <c r="C34" s="167"/>
      <c r="D34" s="167"/>
    </row>
    <row r="35" spans="1:4" ht="36.75" customHeight="1">
      <c r="A35" s="9" t="s">
        <v>66</v>
      </c>
      <c r="B35" s="22" t="s">
        <v>79</v>
      </c>
      <c r="C35" s="154">
        <v>1.29</v>
      </c>
      <c r="D35" s="152">
        <f>C35*12*B8</f>
        <v>13044.996000000001</v>
      </c>
    </row>
    <row r="36" spans="1:4" ht="14.25" customHeight="1">
      <c r="A36" s="9" t="s">
        <v>67</v>
      </c>
      <c r="B36" s="22" t="s">
        <v>80</v>
      </c>
      <c r="C36" s="154"/>
      <c r="D36" s="168"/>
    </row>
    <row r="37" spans="1:4" ht="14.25" customHeight="1">
      <c r="A37" s="9" t="s">
        <v>68</v>
      </c>
      <c r="B37" s="22" t="s">
        <v>80</v>
      </c>
      <c r="C37" s="154"/>
      <c r="D37" s="168"/>
    </row>
    <row r="38" spans="1:4" ht="24" customHeight="1">
      <c r="A38" s="9" t="s">
        <v>69</v>
      </c>
      <c r="B38" s="22" t="s">
        <v>79</v>
      </c>
      <c r="C38" s="154"/>
      <c r="D38" s="168"/>
    </row>
    <row r="39" spans="1:4" ht="25.5" customHeight="1">
      <c r="A39" s="10" t="s">
        <v>70</v>
      </c>
      <c r="B39" s="22" t="s">
        <v>79</v>
      </c>
      <c r="C39" s="154"/>
      <c r="D39" s="168"/>
    </row>
    <row r="40" spans="1:4" ht="14.25" customHeight="1">
      <c r="A40" s="9" t="s">
        <v>71</v>
      </c>
      <c r="B40" s="22" t="s">
        <v>24</v>
      </c>
      <c r="C40" s="154"/>
      <c r="D40" s="162"/>
    </row>
    <row r="41" spans="1:4" ht="11.25" customHeight="1">
      <c r="A41" s="169" t="s">
        <v>29</v>
      </c>
      <c r="B41" s="169"/>
      <c r="C41" s="169"/>
      <c r="D41" s="169"/>
    </row>
    <row r="42" spans="1:4" ht="35.25" customHeight="1">
      <c r="A42" s="9" t="s">
        <v>30</v>
      </c>
      <c r="B42" s="22" t="s">
        <v>22</v>
      </c>
      <c r="C42" s="154">
        <v>1.91</v>
      </c>
      <c r="D42" s="152">
        <f>C42*12*B8</f>
        <v>19314.684000000001</v>
      </c>
    </row>
    <row r="43" spans="1:4" ht="38.25" customHeight="1">
      <c r="A43" s="9" t="s">
        <v>31</v>
      </c>
      <c r="B43" s="22" t="s">
        <v>22</v>
      </c>
      <c r="C43" s="154"/>
      <c r="D43" s="152"/>
    </row>
    <row r="44" spans="1:4" ht="15" customHeight="1">
      <c r="A44" s="10" t="s">
        <v>32</v>
      </c>
      <c r="B44" s="22" t="s">
        <v>22</v>
      </c>
      <c r="C44" s="154"/>
      <c r="D44" s="152"/>
    </row>
    <row r="45" spans="1:4" ht="12.75" customHeight="1">
      <c r="A45" s="167" t="s">
        <v>33</v>
      </c>
      <c r="B45" s="167"/>
      <c r="C45" s="167"/>
      <c r="D45" s="167"/>
    </row>
    <row r="46" spans="1:4" ht="29.25" customHeight="1">
      <c r="A46" s="9" t="s">
        <v>34</v>
      </c>
      <c r="B46" s="22" t="s">
        <v>77</v>
      </c>
      <c r="C46" s="154">
        <v>3.06</v>
      </c>
      <c r="D46" s="154">
        <f>C46*12*B8</f>
        <v>30943.944</v>
      </c>
    </row>
    <row r="47" spans="1:4" ht="14.25" customHeight="1">
      <c r="A47" s="9" t="s">
        <v>35</v>
      </c>
      <c r="B47" s="22" t="s">
        <v>81</v>
      </c>
      <c r="C47" s="154"/>
      <c r="D47" s="154"/>
    </row>
    <row r="48" spans="1:4" ht="17.25" customHeight="1">
      <c r="A48" s="9" t="s">
        <v>36</v>
      </c>
      <c r="B48" s="22" t="s">
        <v>81</v>
      </c>
      <c r="C48" s="154"/>
      <c r="D48" s="154"/>
    </row>
    <row r="49" spans="1:4" ht="24.75" customHeight="1">
      <c r="A49" s="9" t="s">
        <v>37</v>
      </c>
      <c r="B49" s="22" t="s">
        <v>82</v>
      </c>
      <c r="C49" s="154"/>
      <c r="D49" s="154"/>
    </row>
    <row r="50" spans="1:4" ht="30" customHeight="1">
      <c r="A50" s="9" t="s">
        <v>38</v>
      </c>
      <c r="B50" s="22" t="s">
        <v>82</v>
      </c>
      <c r="C50" s="154"/>
      <c r="D50" s="154"/>
    </row>
    <row r="51" spans="1:4" ht="12.75" customHeight="1">
      <c r="A51" s="88" t="s">
        <v>95</v>
      </c>
      <c r="B51" s="6"/>
      <c r="C51" s="154"/>
      <c r="D51" s="154"/>
    </row>
    <row r="52" spans="1:4" ht="35.25" customHeight="1">
      <c r="A52" s="9" t="s">
        <v>40</v>
      </c>
      <c r="B52" s="22" t="s">
        <v>79</v>
      </c>
      <c r="C52" s="154"/>
      <c r="D52" s="154"/>
    </row>
    <row r="53" spans="1:4" ht="14.25" customHeight="1">
      <c r="A53" s="9" t="s">
        <v>41</v>
      </c>
      <c r="B53" s="22" t="s">
        <v>80</v>
      </c>
      <c r="C53" s="154"/>
      <c r="D53" s="154"/>
    </row>
    <row r="54" spans="1:4" ht="14.25" customHeight="1">
      <c r="A54" s="9" t="s">
        <v>42</v>
      </c>
      <c r="B54" s="23" t="s">
        <v>80</v>
      </c>
      <c r="C54" s="154"/>
      <c r="D54" s="154"/>
    </row>
    <row r="55" spans="1:4" ht="13.5" customHeight="1">
      <c r="A55" s="9" t="s">
        <v>43</v>
      </c>
      <c r="B55" s="23" t="s">
        <v>80</v>
      </c>
      <c r="C55" s="154"/>
      <c r="D55" s="154"/>
    </row>
    <row r="56" spans="1:4" ht="13.5" customHeight="1">
      <c r="A56" s="9" t="s">
        <v>44</v>
      </c>
      <c r="B56" s="21" t="s">
        <v>210</v>
      </c>
      <c r="C56" s="154"/>
      <c r="D56" s="154"/>
    </row>
    <row r="57" spans="1:4" ht="36.75" customHeight="1">
      <c r="A57" s="10" t="s">
        <v>45</v>
      </c>
      <c r="B57" s="22" t="s">
        <v>22</v>
      </c>
      <c r="C57" s="154"/>
      <c r="D57" s="154"/>
    </row>
    <row r="58" spans="1:4">
      <c r="A58" s="167" t="s">
        <v>46</v>
      </c>
      <c r="B58" s="167"/>
      <c r="C58" s="167"/>
      <c r="D58" s="167"/>
    </row>
    <row r="59" spans="1:4" ht="15.75" customHeight="1">
      <c r="A59" s="9" t="s">
        <v>47</v>
      </c>
      <c r="B59" s="22" t="s">
        <v>83</v>
      </c>
      <c r="C59" s="152">
        <v>2.27</v>
      </c>
      <c r="D59" s="154">
        <f>C59*12*B8</f>
        <v>22955.148000000005</v>
      </c>
    </row>
    <row r="60" spans="1:4" ht="12.75" customHeight="1">
      <c r="A60" s="9" t="s">
        <v>48</v>
      </c>
      <c r="B60" s="22" t="s">
        <v>83</v>
      </c>
      <c r="C60" s="152"/>
      <c r="D60" s="154"/>
    </row>
    <row r="61" spans="1:4" ht="26.25" customHeight="1">
      <c r="A61" s="9" t="s">
        <v>49</v>
      </c>
      <c r="B61" s="22" t="s">
        <v>83</v>
      </c>
      <c r="C61" s="152"/>
      <c r="D61" s="154"/>
    </row>
    <row r="62" spans="1:4" ht="16.5" customHeight="1">
      <c r="A62" s="9" t="s">
        <v>50</v>
      </c>
      <c r="B62" s="22" t="s">
        <v>83</v>
      </c>
      <c r="C62" s="152"/>
      <c r="D62" s="154"/>
    </row>
    <row r="63" spans="1:4" ht="36.75" customHeight="1">
      <c r="A63" s="10" t="s">
        <v>51</v>
      </c>
      <c r="B63" s="22" t="s">
        <v>22</v>
      </c>
      <c r="C63" s="152"/>
      <c r="D63" s="154"/>
    </row>
    <row r="64" spans="1:4" ht="16.5" customHeight="1">
      <c r="A64" s="10" t="s">
        <v>52</v>
      </c>
      <c r="B64" s="23" t="s">
        <v>84</v>
      </c>
      <c r="C64" s="152"/>
      <c r="D64" s="154"/>
    </row>
    <row r="65" spans="1:4">
      <c r="A65" s="157" t="s">
        <v>85</v>
      </c>
      <c r="B65" s="158"/>
      <c r="C65" s="158"/>
      <c r="D65" s="159"/>
    </row>
    <row r="66" spans="1:4" ht="26.25" customHeight="1">
      <c r="A66" s="175" t="s">
        <v>96</v>
      </c>
      <c r="B66" s="177" t="s">
        <v>86</v>
      </c>
      <c r="C66" s="152">
        <v>2.41</v>
      </c>
      <c r="D66" s="154">
        <f>C66*B8*12</f>
        <v>24370.884000000002</v>
      </c>
    </row>
    <row r="67" spans="1:4" ht="3.75" customHeight="1">
      <c r="A67" s="176"/>
      <c r="B67" s="177"/>
      <c r="C67" s="152"/>
      <c r="D67" s="154"/>
    </row>
    <row r="68" spans="1:4" ht="15" customHeight="1">
      <c r="A68" s="157" t="s">
        <v>55</v>
      </c>
      <c r="B68" s="158"/>
      <c r="C68" s="158"/>
      <c r="D68" s="159"/>
    </row>
    <row r="69" spans="1:4" ht="16.5" customHeight="1">
      <c r="A69" s="6" t="s">
        <v>90</v>
      </c>
      <c r="B69" s="21" t="s">
        <v>87</v>
      </c>
      <c r="C69" s="170">
        <v>2.14</v>
      </c>
      <c r="D69" s="172">
        <f>C69*12*B8+0.13</f>
        <v>21640.666000000001</v>
      </c>
    </row>
    <row r="70" spans="1:4">
      <c r="A70" s="6" t="s">
        <v>91</v>
      </c>
      <c r="B70" s="21" t="s">
        <v>87</v>
      </c>
      <c r="C70" s="171"/>
      <c r="D70" s="173"/>
    </row>
    <row r="71" spans="1:4" ht="15" customHeight="1">
      <c r="A71" s="6" t="s">
        <v>92</v>
      </c>
      <c r="B71" s="21" t="s">
        <v>87</v>
      </c>
      <c r="C71" s="169"/>
      <c r="D71" s="174"/>
    </row>
    <row r="72" spans="1:4" ht="38.25" customHeight="1">
      <c r="A72" s="6" t="s">
        <v>143</v>
      </c>
      <c r="B72" s="22" t="s">
        <v>22</v>
      </c>
      <c r="C72" s="89">
        <v>4.3499999999999996</v>
      </c>
      <c r="D72" s="89">
        <v>43989.84</v>
      </c>
    </row>
    <row r="73" spans="1:4">
      <c r="A73" s="88" t="s">
        <v>56</v>
      </c>
      <c r="B73" s="23"/>
      <c r="C73" s="28">
        <f>C72+C69+C66+C59+C46+C42+C35+C28+C24+C17+C14+C13</f>
        <v>21.619999999999997</v>
      </c>
      <c r="D73" s="28">
        <f>D72+D69+D66+D59+D46+D42+D35+D28+D24+D17+D14+D13</f>
        <v>218631.11800000005</v>
      </c>
    </row>
    <row r="74" spans="1:4">
      <c r="C74" t="s">
        <v>201</v>
      </c>
    </row>
    <row r="75" spans="1:4">
      <c r="D75" s="40"/>
    </row>
    <row r="76" spans="1:4">
      <c r="D76" s="40"/>
    </row>
    <row r="77" spans="1:4">
      <c r="D77" s="40"/>
    </row>
    <row r="78" spans="1:4">
      <c r="D78" s="40"/>
    </row>
  </sheetData>
  <mergeCells count="34">
    <mergeCell ref="A45:D45"/>
    <mergeCell ref="A68:D68"/>
    <mergeCell ref="C69:C71"/>
    <mergeCell ref="D69:D71"/>
    <mergeCell ref="A58:D58"/>
    <mergeCell ref="C59:C64"/>
    <mergeCell ref="D59:D64"/>
    <mergeCell ref="A65:D65"/>
    <mergeCell ref="A66:A67"/>
    <mergeCell ref="B66:B67"/>
    <mergeCell ref="C66:C67"/>
    <mergeCell ref="D66:D67"/>
    <mergeCell ref="C46:C57"/>
    <mergeCell ref="D46:D57"/>
    <mergeCell ref="A34:D34"/>
    <mergeCell ref="A12:D12"/>
    <mergeCell ref="A15:D15"/>
    <mergeCell ref="C17:C22"/>
    <mergeCell ref="D17:D22"/>
    <mergeCell ref="A23:D23"/>
    <mergeCell ref="D13:D14"/>
    <mergeCell ref="B13:B14"/>
    <mergeCell ref="C13:C14"/>
    <mergeCell ref="C24:C25"/>
    <mergeCell ref="D24:D25"/>
    <mergeCell ref="A26:D26"/>
    <mergeCell ref="A27:D27"/>
    <mergeCell ref="C28:C33"/>
    <mergeCell ref="D28:D33"/>
    <mergeCell ref="A41:D41"/>
    <mergeCell ref="C42:C44"/>
    <mergeCell ref="D42:D44"/>
    <mergeCell ref="C35:C40"/>
    <mergeCell ref="D35:D4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78"/>
  <sheetViews>
    <sheetView topLeftCell="A34" workbookViewId="0">
      <selection activeCell="D82" sqref="D82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207</v>
      </c>
      <c r="B2" s="2"/>
      <c r="C2" s="2"/>
      <c r="D2" s="2"/>
    </row>
    <row r="3" spans="1:4">
      <c r="A3" s="1" t="s">
        <v>285</v>
      </c>
      <c r="B3" s="2"/>
      <c r="C3" s="2"/>
      <c r="D3" s="2"/>
    </row>
    <row r="4" spans="1:4">
      <c r="A4" s="25" t="s">
        <v>58</v>
      </c>
      <c r="B4" s="2">
        <v>2011</v>
      </c>
      <c r="C4" s="2"/>
      <c r="D4" s="2"/>
    </row>
    <row r="5" spans="1:4">
      <c r="A5" s="25" t="s">
        <v>59</v>
      </c>
      <c r="B5" s="2">
        <v>3</v>
      </c>
      <c r="C5" s="2"/>
      <c r="D5" s="2"/>
    </row>
    <row r="6" spans="1:4">
      <c r="A6" s="25" t="s">
        <v>60</v>
      </c>
      <c r="B6" s="2">
        <v>2</v>
      </c>
      <c r="C6" s="2"/>
      <c r="D6" s="2"/>
    </row>
    <row r="7" spans="1:4">
      <c r="A7" s="25" t="s">
        <v>61</v>
      </c>
      <c r="B7" s="2">
        <v>24</v>
      </c>
      <c r="C7" s="2"/>
      <c r="D7" s="2"/>
    </row>
    <row r="8" spans="1:4">
      <c r="A8" s="25" t="s">
        <v>72</v>
      </c>
      <c r="B8" s="2">
        <v>841.9</v>
      </c>
      <c r="C8" s="2"/>
      <c r="D8" s="2"/>
    </row>
    <row r="9" spans="1:4">
      <c r="A9" s="25" t="s">
        <v>62</v>
      </c>
      <c r="B9" s="2">
        <v>190.2</v>
      </c>
      <c r="C9" s="2"/>
      <c r="D9" s="2"/>
    </row>
    <row r="10" spans="1:4">
      <c r="A10" s="25" t="s">
        <v>73</v>
      </c>
      <c r="B10" s="46" t="s">
        <v>100</v>
      </c>
      <c r="C10" s="2"/>
      <c r="D10" s="2"/>
    </row>
    <row r="11" spans="1:4" ht="36.75">
      <c r="A11" s="91" t="s">
        <v>1</v>
      </c>
      <c r="B11" s="91" t="s">
        <v>2</v>
      </c>
      <c r="C11" s="91" t="s">
        <v>3</v>
      </c>
      <c r="D11" s="91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1.04</v>
      </c>
      <c r="D13" s="163">
        <f>C13*12*B8</f>
        <v>10506.912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165" t="s">
        <v>10</v>
      </c>
      <c r="B15" s="165"/>
      <c r="C15" s="165"/>
      <c r="D15" s="165"/>
    </row>
    <row r="16" spans="1:4" ht="13.5" customHeight="1">
      <c r="A16" s="39" t="s">
        <v>97</v>
      </c>
      <c r="B16" s="88"/>
      <c r="C16" s="88"/>
      <c r="D16" s="88"/>
    </row>
    <row r="17" spans="1:4" ht="13.5" customHeight="1">
      <c r="A17" s="6" t="s">
        <v>11</v>
      </c>
      <c r="B17" s="91" t="s">
        <v>75</v>
      </c>
      <c r="C17" s="152">
        <v>2.16</v>
      </c>
      <c r="D17" s="166">
        <f>C17*B8*12</f>
        <v>21822.048000000003</v>
      </c>
    </row>
    <row r="18" spans="1:4" ht="12.75" customHeight="1">
      <c r="A18" s="6" t="s">
        <v>12</v>
      </c>
      <c r="B18" s="91" t="s">
        <v>75</v>
      </c>
      <c r="C18" s="152"/>
      <c r="D18" s="155"/>
    </row>
    <row r="19" spans="1:4" ht="14.25" customHeight="1">
      <c r="A19" s="6" t="s">
        <v>13</v>
      </c>
      <c r="B19" s="91" t="s">
        <v>75</v>
      </c>
      <c r="C19" s="152"/>
      <c r="D19" s="155"/>
    </row>
    <row r="20" spans="1:4" ht="13.5" customHeight="1">
      <c r="A20" s="6" t="s">
        <v>14</v>
      </c>
      <c r="B20" s="91" t="s">
        <v>76</v>
      </c>
      <c r="C20" s="152"/>
      <c r="D20" s="155"/>
    </row>
    <row r="21" spans="1:4" ht="12.75" customHeight="1">
      <c r="A21" s="39" t="s">
        <v>93</v>
      </c>
      <c r="B21" s="91"/>
      <c r="C21" s="152"/>
      <c r="D21" s="155"/>
    </row>
    <row r="22" spans="1:4" ht="30" customHeight="1">
      <c r="A22" s="6" t="s">
        <v>15</v>
      </c>
      <c r="B22" s="91" t="s">
        <v>94</v>
      </c>
      <c r="C22" s="152"/>
      <c r="D22" s="156"/>
    </row>
    <row r="23" spans="1:4" ht="12.75" customHeight="1">
      <c r="A23" s="157" t="s">
        <v>16</v>
      </c>
      <c r="B23" s="158"/>
      <c r="C23" s="158"/>
      <c r="D23" s="159"/>
    </row>
    <row r="24" spans="1:4" ht="12" customHeight="1">
      <c r="A24" s="7" t="s">
        <v>17</v>
      </c>
      <c r="B24" s="21" t="s">
        <v>78</v>
      </c>
      <c r="C24" s="152">
        <v>0.2</v>
      </c>
      <c r="D24" s="167">
        <f>C24*B8*12</f>
        <v>2020.56</v>
      </c>
    </row>
    <row r="25" spans="1:4" ht="12" customHeight="1">
      <c r="A25" s="7" t="s">
        <v>18</v>
      </c>
      <c r="B25" s="21" t="s">
        <v>77</v>
      </c>
      <c r="C25" s="152"/>
      <c r="D25" s="167"/>
    </row>
    <row r="26" spans="1:4" ht="13.5" customHeight="1">
      <c r="A26" s="157" t="s">
        <v>19</v>
      </c>
      <c r="B26" s="158"/>
      <c r="C26" s="158"/>
      <c r="D26" s="159"/>
    </row>
    <row r="27" spans="1:4">
      <c r="A27" s="167" t="s">
        <v>20</v>
      </c>
      <c r="B27" s="167"/>
      <c r="C27" s="167"/>
      <c r="D27" s="167"/>
    </row>
    <row r="28" spans="1:4" ht="37.5" customHeight="1">
      <c r="A28" s="8" t="s">
        <v>21</v>
      </c>
      <c r="B28" s="22" t="s">
        <v>79</v>
      </c>
      <c r="C28" s="152">
        <v>0.61</v>
      </c>
      <c r="D28" s="154">
        <f>C28*B8*12</f>
        <v>6162.7079999999996</v>
      </c>
    </row>
    <row r="29" spans="1:4" ht="15" customHeight="1">
      <c r="A29" s="9" t="s">
        <v>23</v>
      </c>
      <c r="B29" s="23" t="s">
        <v>80</v>
      </c>
      <c r="C29" s="152"/>
      <c r="D29" s="155"/>
    </row>
    <row r="30" spans="1:4" ht="13.5" customHeight="1">
      <c r="A30" s="9" t="s">
        <v>25</v>
      </c>
      <c r="B30" s="23" t="s">
        <v>80</v>
      </c>
      <c r="C30" s="152"/>
      <c r="D30" s="155"/>
    </row>
    <row r="31" spans="1:4" ht="36" customHeight="1">
      <c r="A31" s="9" t="s">
        <v>26</v>
      </c>
      <c r="B31" s="22" t="s">
        <v>22</v>
      </c>
      <c r="C31" s="152"/>
      <c r="D31" s="155"/>
    </row>
    <row r="32" spans="1:4" ht="14.25" customHeight="1">
      <c r="A32" s="9" t="s">
        <v>27</v>
      </c>
      <c r="B32" s="22" t="s">
        <v>24</v>
      </c>
      <c r="C32" s="152"/>
      <c r="D32" s="155"/>
    </row>
    <row r="33" spans="1:4" ht="33.75" customHeight="1">
      <c r="A33" s="24" t="s">
        <v>28</v>
      </c>
      <c r="B33" s="22" t="s">
        <v>22</v>
      </c>
      <c r="C33" s="153"/>
      <c r="D33" s="156"/>
    </row>
    <row r="34" spans="1:4" ht="15.75" customHeight="1">
      <c r="A34" s="167" t="s">
        <v>65</v>
      </c>
      <c r="B34" s="167"/>
      <c r="C34" s="167"/>
      <c r="D34" s="167"/>
    </row>
    <row r="35" spans="1:4" ht="36.75" customHeight="1">
      <c r="A35" s="9" t="s">
        <v>66</v>
      </c>
      <c r="B35" s="22" t="s">
        <v>79</v>
      </c>
      <c r="C35" s="154">
        <v>1.44</v>
      </c>
      <c r="D35" s="152">
        <f>C35*B8*12</f>
        <v>14548.031999999999</v>
      </c>
    </row>
    <row r="36" spans="1:4" ht="14.25" customHeight="1">
      <c r="A36" s="9" t="s">
        <v>67</v>
      </c>
      <c r="B36" s="22" t="s">
        <v>80</v>
      </c>
      <c r="C36" s="154"/>
      <c r="D36" s="168"/>
    </row>
    <row r="37" spans="1:4" ht="14.25" customHeight="1">
      <c r="A37" s="9" t="s">
        <v>68</v>
      </c>
      <c r="B37" s="22" t="s">
        <v>80</v>
      </c>
      <c r="C37" s="154"/>
      <c r="D37" s="168"/>
    </row>
    <row r="38" spans="1:4" ht="24" customHeight="1">
      <c r="A38" s="9" t="s">
        <v>69</v>
      </c>
      <c r="B38" s="22" t="s">
        <v>79</v>
      </c>
      <c r="C38" s="154"/>
      <c r="D38" s="168"/>
    </row>
    <row r="39" spans="1:4" ht="25.5" customHeight="1">
      <c r="A39" s="10" t="s">
        <v>70</v>
      </c>
      <c r="B39" s="22" t="s">
        <v>79</v>
      </c>
      <c r="C39" s="154"/>
      <c r="D39" s="168"/>
    </row>
    <row r="40" spans="1:4" ht="14.25" customHeight="1">
      <c r="A40" s="9" t="s">
        <v>71</v>
      </c>
      <c r="B40" s="22" t="s">
        <v>24</v>
      </c>
      <c r="C40" s="154"/>
      <c r="D40" s="162"/>
    </row>
    <row r="41" spans="1:4" ht="11.25" customHeight="1">
      <c r="A41" s="169" t="s">
        <v>29</v>
      </c>
      <c r="B41" s="169"/>
      <c r="C41" s="169"/>
      <c r="D41" s="169"/>
    </row>
    <row r="42" spans="1:4" ht="35.25" customHeight="1">
      <c r="A42" s="9" t="s">
        <v>30</v>
      </c>
      <c r="B42" s="22" t="s">
        <v>22</v>
      </c>
      <c r="C42" s="154">
        <v>1.7</v>
      </c>
      <c r="D42" s="152">
        <f>C42*12*B8</f>
        <v>17174.759999999998</v>
      </c>
    </row>
    <row r="43" spans="1:4" ht="38.25" customHeight="1">
      <c r="A43" s="9" t="s">
        <v>31</v>
      </c>
      <c r="B43" s="22" t="s">
        <v>22</v>
      </c>
      <c r="C43" s="154"/>
      <c r="D43" s="152"/>
    </row>
    <row r="44" spans="1:4" ht="15" customHeight="1">
      <c r="A44" s="10" t="s">
        <v>32</v>
      </c>
      <c r="B44" s="22" t="s">
        <v>22</v>
      </c>
      <c r="C44" s="154"/>
      <c r="D44" s="152"/>
    </row>
    <row r="45" spans="1:4" ht="12.75" customHeight="1">
      <c r="A45" s="167" t="s">
        <v>33</v>
      </c>
      <c r="B45" s="167"/>
      <c r="C45" s="167"/>
      <c r="D45" s="167"/>
    </row>
    <row r="46" spans="1:4" ht="29.25" customHeight="1">
      <c r="A46" s="9" t="s">
        <v>34</v>
      </c>
      <c r="B46" s="22" t="s">
        <v>77</v>
      </c>
      <c r="C46" s="154">
        <v>3.82</v>
      </c>
      <c r="D46" s="154">
        <f>C46*12*B8</f>
        <v>38592.695999999996</v>
      </c>
    </row>
    <row r="47" spans="1:4" ht="14.25" customHeight="1">
      <c r="A47" s="9" t="s">
        <v>35</v>
      </c>
      <c r="B47" s="22" t="s">
        <v>81</v>
      </c>
      <c r="C47" s="154"/>
      <c r="D47" s="154"/>
    </row>
    <row r="48" spans="1:4" ht="17.25" customHeight="1">
      <c r="A48" s="9" t="s">
        <v>36</v>
      </c>
      <c r="B48" s="22" t="s">
        <v>81</v>
      </c>
      <c r="C48" s="154"/>
      <c r="D48" s="154"/>
    </row>
    <row r="49" spans="1:4" ht="24.75" customHeight="1">
      <c r="A49" s="9" t="s">
        <v>37</v>
      </c>
      <c r="B49" s="22" t="s">
        <v>82</v>
      </c>
      <c r="C49" s="154"/>
      <c r="D49" s="154"/>
    </row>
    <row r="50" spans="1:4" ht="30" customHeight="1">
      <c r="A50" s="9" t="s">
        <v>38</v>
      </c>
      <c r="B50" s="22" t="s">
        <v>82</v>
      </c>
      <c r="C50" s="154"/>
      <c r="D50" s="154"/>
    </row>
    <row r="51" spans="1:4" ht="12.75" customHeight="1">
      <c r="A51" s="88" t="s">
        <v>95</v>
      </c>
      <c r="B51" s="6"/>
      <c r="C51" s="154"/>
      <c r="D51" s="154"/>
    </row>
    <row r="52" spans="1:4" ht="35.25" customHeight="1">
      <c r="A52" s="9" t="s">
        <v>40</v>
      </c>
      <c r="B52" s="22" t="s">
        <v>79</v>
      </c>
      <c r="C52" s="154"/>
      <c r="D52" s="154"/>
    </row>
    <row r="53" spans="1:4" ht="14.25" customHeight="1">
      <c r="A53" s="9" t="s">
        <v>41</v>
      </c>
      <c r="B53" s="22" t="s">
        <v>80</v>
      </c>
      <c r="C53" s="154"/>
      <c r="D53" s="154"/>
    </row>
    <row r="54" spans="1:4" ht="14.25" customHeight="1">
      <c r="A54" s="9" t="s">
        <v>42</v>
      </c>
      <c r="B54" s="23" t="s">
        <v>80</v>
      </c>
      <c r="C54" s="154"/>
      <c r="D54" s="154"/>
    </row>
    <row r="55" spans="1:4" ht="13.5" customHeight="1">
      <c r="A55" s="9" t="s">
        <v>43</v>
      </c>
      <c r="B55" s="23" t="s">
        <v>80</v>
      </c>
      <c r="C55" s="154"/>
      <c r="D55" s="154"/>
    </row>
    <row r="56" spans="1:4" ht="13.5" customHeight="1">
      <c r="A56" s="9" t="s">
        <v>44</v>
      </c>
      <c r="B56" s="21" t="s">
        <v>208</v>
      </c>
      <c r="C56" s="154"/>
      <c r="D56" s="154"/>
    </row>
    <row r="57" spans="1:4" ht="36.75" customHeight="1">
      <c r="A57" s="10" t="s">
        <v>45</v>
      </c>
      <c r="B57" s="22" t="s">
        <v>22</v>
      </c>
      <c r="C57" s="154"/>
      <c r="D57" s="154"/>
    </row>
    <row r="58" spans="1:4">
      <c r="A58" s="167" t="s">
        <v>46</v>
      </c>
      <c r="B58" s="167"/>
      <c r="C58" s="167"/>
      <c r="D58" s="167"/>
    </row>
    <row r="59" spans="1:4" ht="15.75" customHeight="1">
      <c r="A59" s="9" t="s">
        <v>47</v>
      </c>
      <c r="B59" s="22" t="s">
        <v>83</v>
      </c>
      <c r="C59" s="152">
        <v>1.75</v>
      </c>
      <c r="D59" s="154">
        <f>C59*B8*12</f>
        <v>17679.900000000001</v>
      </c>
    </row>
    <row r="60" spans="1:4" ht="12.75" customHeight="1">
      <c r="A60" s="9" t="s">
        <v>48</v>
      </c>
      <c r="B60" s="22" t="s">
        <v>83</v>
      </c>
      <c r="C60" s="152"/>
      <c r="D60" s="154"/>
    </row>
    <row r="61" spans="1:4" ht="27" customHeight="1">
      <c r="A61" s="9" t="s">
        <v>49</v>
      </c>
      <c r="B61" s="22" t="s">
        <v>83</v>
      </c>
      <c r="C61" s="152"/>
      <c r="D61" s="154"/>
    </row>
    <row r="62" spans="1:4" ht="16.5" customHeight="1">
      <c r="A62" s="9" t="s">
        <v>50</v>
      </c>
      <c r="B62" s="22" t="s">
        <v>83</v>
      </c>
      <c r="C62" s="152"/>
      <c r="D62" s="154"/>
    </row>
    <row r="63" spans="1:4" ht="36.75" customHeight="1">
      <c r="A63" s="10" t="s">
        <v>51</v>
      </c>
      <c r="B63" s="22" t="s">
        <v>22</v>
      </c>
      <c r="C63" s="152"/>
      <c r="D63" s="154"/>
    </row>
    <row r="64" spans="1:4" ht="16.5" customHeight="1">
      <c r="A64" s="10" t="s">
        <v>52</v>
      </c>
      <c r="B64" s="23" t="s">
        <v>84</v>
      </c>
      <c r="C64" s="152"/>
      <c r="D64" s="154"/>
    </row>
    <row r="65" spans="1:4">
      <c r="A65" s="157" t="s">
        <v>85</v>
      </c>
      <c r="B65" s="158"/>
      <c r="C65" s="158"/>
      <c r="D65" s="159"/>
    </row>
    <row r="66" spans="1:4" ht="26.25" customHeight="1">
      <c r="A66" s="175" t="s">
        <v>96</v>
      </c>
      <c r="B66" s="177" t="s">
        <v>86</v>
      </c>
      <c r="C66" s="152">
        <v>2.41</v>
      </c>
      <c r="D66" s="154">
        <f>C66*B8*12+0.32</f>
        <v>24348.067999999999</v>
      </c>
    </row>
    <row r="67" spans="1:4" ht="3.75" customHeight="1">
      <c r="A67" s="176"/>
      <c r="B67" s="177"/>
      <c r="C67" s="152"/>
      <c r="D67" s="154"/>
    </row>
    <row r="68" spans="1:4" ht="15" customHeight="1">
      <c r="A68" s="157" t="s">
        <v>55</v>
      </c>
      <c r="B68" s="158"/>
      <c r="C68" s="158"/>
      <c r="D68" s="159"/>
    </row>
    <row r="69" spans="1:4" ht="16.5" customHeight="1">
      <c r="A69" s="6" t="s">
        <v>90</v>
      </c>
      <c r="B69" s="21" t="s">
        <v>87</v>
      </c>
      <c r="C69" s="170">
        <v>2.14</v>
      </c>
      <c r="D69" s="172">
        <f>C69*12*B8</f>
        <v>21619.991999999998</v>
      </c>
    </row>
    <row r="70" spans="1:4">
      <c r="A70" s="6" t="s">
        <v>91</v>
      </c>
      <c r="B70" s="21" t="s">
        <v>87</v>
      </c>
      <c r="C70" s="171"/>
      <c r="D70" s="173"/>
    </row>
    <row r="71" spans="1:4" ht="15" customHeight="1">
      <c r="A71" s="6" t="s">
        <v>92</v>
      </c>
      <c r="B71" s="21" t="s">
        <v>87</v>
      </c>
      <c r="C71" s="169"/>
      <c r="D71" s="174"/>
    </row>
    <row r="72" spans="1:4" ht="38.25" customHeight="1">
      <c r="A72" s="6" t="s">
        <v>143</v>
      </c>
      <c r="B72" s="22" t="s">
        <v>22</v>
      </c>
      <c r="C72" s="89">
        <v>4.3499999999999996</v>
      </c>
      <c r="D72" s="89">
        <v>43947.96</v>
      </c>
    </row>
    <row r="73" spans="1:4">
      <c r="A73" s="88" t="s">
        <v>56</v>
      </c>
      <c r="B73" s="23"/>
      <c r="C73" s="28">
        <f>C72+C69+C66+C59+C46+C42+C35+C28+C24+C17+C14+C13</f>
        <v>21.62</v>
      </c>
      <c r="D73" s="28">
        <f>D72+D69+D66+D59+D46+D42+D35+D28+D24+D17+D14+D13</f>
        <v>218423.63600000003</v>
      </c>
    </row>
    <row r="74" spans="1:4">
      <c r="C74" t="s">
        <v>201</v>
      </c>
    </row>
    <row r="75" spans="1:4">
      <c r="D75" s="40"/>
    </row>
    <row r="76" spans="1:4">
      <c r="D76" s="40"/>
    </row>
    <row r="77" spans="1:4">
      <c r="D77" s="40"/>
    </row>
    <row r="78" spans="1:4">
      <c r="D78" s="40"/>
    </row>
  </sheetData>
  <mergeCells count="34">
    <mergeCell ref="A45:D45"/>
    <mergeCell ref="A68:D68"/>
    <mergeCell ref="C69:C71"/>
    <mergeCell ref="D69:D71"/>
    <mergeCell ref="A58:D58"/>
    <mergeCell ref="C59:C64"/>
    <mergeCell ref="D59:D64"/>
    <mergeCell ref="A65:D65"/>
    <mergeCell ref="A66:A67"/>
    <mergeCell ref="B66:B67"/>
    <mergeCell ref="C66:C67"/>
    <mergeCell ref="D66:D67"/>
    <mergeCell ref="C46:C57"/>
    <mergeCell ref="D46:D57"/>
    <mergeCell ref="A34:D34"/>
    <mergeCell ref="A12:D12"/>
    <mergeCell ref="A15:D15"/>
    <mergeCell ref="C17:C22"/>
    <mergeCell ref="D17:D22"/>
    <mergeCell ref="A23:D23"/>
    <mergeCell ref="D13:D14"/>
    <mergeCell ref="B13:B14"/>
    <mergeCell ref="C13:C14"/>
    <mergeCell ref="C24:C25"/>
    <mergeCell ref="D24:D25"/>
    <mergeCell ref="A26:D26"/>
    <mergeCell ref="A27:D27"/>
    <mergeCell ref="C28:C33"/>
    <mergeCell ref="D28:D33"/>
    <mergeCell ref="A41:D41"/>
    <mergeCell ref="C42:C44"/>
    <mergeCell ref="D42:D44"/>
    <mergeCell ref="C35:C40"/>
    <mergeCell ref="D35:D4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84"/>
  <sheetViews>
    <sheetView topLeftCell="A19" workbookViewId="0">
      <selection activeCell="A80" sqref="A80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203</v>
      </c>
      <c r="B2" s="2"/>
      <c r="C2" s="2"/>
      <c r="D2" s="2"/>
    </row>
    <row r="3" spans="1:4">
      <c r="A3" s="1" t="s">
        <v>268</v>
      </c>
      <c r="B3" s="2"/>
      <c r="C3" s="2"/>
      <c r="D3" s="2"/>
    </row>
    <row r="4" spans="1:4">
      <c r="A4" s="25" t="s">
        <v>58</v>
      </c>
      <c r="B4" s="2">
        <v>1986</v>
      </c>
      <c r="C4" s="2"/>
      <c r="D4" s="2"/>
    </row>
    <row r="5" spans="1:4">
      <c r="A5" s="25" t="s">
        <v>59</v>
      </c>
      <c r="B5" s="2">
        <v>4</v>
      </c>
      <c r="C5" s="2"/>
      <c r="D5" s="2"/>
    </row>
    <row r="6" spans="1:4">
      <c r="A6" s="25" t="s">
        <v>60</v>
      </c>
      <c r="B6" s="2">
        <v>3</v>
      </c>
      <c r="C6" s="2"/>
      <c r="D6" s="2"/>
    </row>
    <row r="7" spans="1:4">
      <c r="A7" s="25" t="s">
        <v>61</v>
      </c>
      <c r="B7" s="2">
        <v>36</v>
      </c>
      <c r="C7" s="2"/>
      <c r="D7" s="2"/>
    </row>
    <row r="8" spans="1:4">
      <c r="A8" s="25" t="s">
        <v>72</v>
      </c>
      <c r="B8" s="2">
        <v>1715.9</v>
      </c>
      <c r="C8" s="2"/>
      <c r="D8" s="2"/>
    </row>
    <row r="9" spans="1:4">
      <c r="A9" s="25" t="s">
        <v>62</v>
      </c>
      <c r="B9" s="2">
        <v>149</v>
      </c>
      <c r="C9" s="2"/>
      <c r="D9" s="2"/>
    </row>
    <row r="10" spans="1:4">
      <c r="A10" s="25" t="s">
        <v>73</v>
      </c>
      <c r="B10" s="46">
        <v>442.4</v>
      </c>
      <c r="C10" s="2"/>
      <c r="D10" s="2"/>
    </row>
    <row r="11" spans="1:4" ht="36.75">
      <c r="A11" s="91" t="s">
        <v>1</v>
      </c>
      <c r="B11" s="91" t="s">
        <v>2</v>
      </c>
      <c r="C11" s="91" t="s">
        <v>3</v>
      </c>
      <c r="D11" s="91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1.02</v>
      </c>
      <c r="D13" s="163">
        <f>C13*12*B8</f>
        <v>21002.616000000002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6" t="s">
        <v>9</v>
      </c>
      <c r="B15" s="91"/>
      <c r="C15" s="26"/>
      <c r="D15" s="30"/>
    </row>
    <row r="16" spans="1:4">
      <c r="A16" s="6" t="s">
        <v>354</v>
      </c>
      <c r="B16" s="132" t="s">
        <v>105</v>
      </c>
      <c r="C16" s="26">
        <v>0.09</v>
      </c>
      <c r="D16" s="30">
        <f>C16*12*B8</f>
        <v>1853.1720000000003</v>
      </c>
    </row>
    <row r="17" spans="1:4">
      <c r="A17" s="6" t="s">
        <v>355</v>
      </c>
      <c r="B17" s="132" t="s">
        <v>105</v>
      </c>
      <c r="C17" s="26">
        <v>0.51</v>
      </c>
      <c r="D17" s="30">
        <f>C17*12*B8</f>
        <v>10501.308000000001</v>
      </c>
    </row>
    <row r="18" spans="1:4">
      <c r="A18" s="6" t="s">
        <v>356</v>
      </c>
      <c r="B18" s="132" t="s">
        <v>105</v>
      </c>
      <c r="C18" s="26">
        <v>1.0900000000000001</v>
      </c>
      <c r="D18" s="30">
        <f>C18*12*B8</f>
        <v>22443.972000000005</v>
      </c>
    </row>
    <row r="19" spans="1:4">
      <c r="A19" s="6" t="s">
        <v>205</v>
      </c>
      <c r="B19" s="91" t="s">
        <v>105</v>
      </c>
      <c r="C19" s="44">
        <v>0.2</v>
      </c>
      <c r="D19" s="30">
        <f>C19*12*B8</f>
        <v>4118.1600000000008</v>
      </c>
    </row>
    <row r="20" spans="1:4">
      <c r="A20" s="165" t="s">
        <v>10</v>
      </c>
      <c r="B20" s="165"/>
      <c r="C20" s="165"/>
      <c r="D20" s="165"/>
    </row>
    <row r="21" spans="1:4" ht="13.5" customHeight="1">
      <c r="A21" s="39" t="s">
        <v>97</v>
      </c>
      <c r="B21" s="88"/>
      <c r="C21" s="88"/>
      <c r="D21" s="88"/>
    </row>
    <row r="22" spans="1:4" ht="13.5" customHeight="1">
      <c r="A22" s="6" t="s">
        <v>11</v>
      </c>
      <c r="B22" s="91" t="s">
        <v>75</v>
      </c>
      <c r="C22" s="152">
        <v>2.16</v>
      </c>
      <c r="D22" s="166">
        <f>C22*B8*12</f>
        <v>44476.128000000004</v>
      </c>
    </row>
    <row r="23" spans="1:4" ht="12.75" customHeight="1">
      <c r="A23" s="6" t="s">
        <v>12</v>
      </c>
      <c r="B23" s="91" t="s">
        <v>75</v>
      </c>
      <c r="C23" s="152"/>
      <c r="D23" s="155"/>
    </row>
    <row r="24" spans="1:4" ht="14.25" customHeight="1">
      <c r="A24" s="6" t="s">
        <v>13</v>
      </c>
      <c r="B24" s="91" t="s">
        <v>75</v>
      </c>
      <c r="C24" s="152"/>
      <c r="D24" s="155"/>
    </row>
    <row r="25" spans="1:4" ht="13.5" customHeight="1">
      <c r="A25" s="6" t="s">
        <v>14</v>
      </c>
      <c r="B25" s="91" t="s">
        <v>76</v>
      </c>
      <c r="C25" s="152"/>
      <c r="D25" s="155"/>
    </row>
    <row r="26" spans="1:4" ht="12.75" customHeight="1">
      <c r="A26" s="39" t="s">
        <v>93</v>
      </c>
      <c r="B26" s="91"/>
      <c r="C26" s="152"/>
      <c r="D26" s="155"/>
    </row>
    <row r="27" spans="1:4" ht="30" customHeight="1">
      <c r="A27" s="6" t="s">
        <v>15</v>
      </c>
      <c r="B27" s="91" t="s">
        <v>94</v>
      </c>
      <c r="C27" s="152"/>
      <c r="D27" s="156"/>
    </row>
    <row r="28" spans="1:4" ht="12.75" customHeight="1">
      <c r="A28" s="157" t="s">
        <v>16</v>
      </c>
      <c r="B28" s="158"/>
      <c r="C28" s="158"/>
      <c r="D28" s="159"/>
    </row>
    <row r="29" spans="1:4" ht="12" customHeight="1">
      <c r="A29" s="7" t="s">
        <v>17</v>
      </c>
      <c r="B29" s="21" t="s">
        <v>78</v>
      </c>
      <c r="C29" s="152">
        <v>0.2</v>
      </c>
      <c r="D29" s="167">
        <f>C29*B8*12</f>
        <v>4118.1600000000008</v>
      </c>
    </row>
    <row r="30" spans="1:4" ht="12" customHeight="1">
      <c r="A30" s="7" t="s">
        <v>18</v>
      </c>
      <c r="B30" s="21" t="s">
        <v>77</v>
      </c>
      <c r="C30" s="152"/>
      <c r="D30" s="167"/>
    </row>
    <row r="31" spans="1:4" ht="13.5" customHeight="1">
      <c r="A31" s="157" t="s">
        <v>19</v>
      </c>
      <c r="B31" s="158"/>
      <c r="C31" s="158"/>
      <c r="D31" s="159"/>
    </row>
    <row r="32" spans="1:4">
      <c r="A32" s="167" t="s">
        <v>20</v>
      </c>
      <c r="B32" s="167"/>
      <c r="C32" s="167"/>
      <c r="D32" s="167"/>
    </row>
    <row r="33" spans="1:4" ht="37.5" customHeight="1">
      <c r="A33" s="8" t="s">
        <v>21</v>
      </c>
      <c r="B33" s="22" t="s">
        <v>79</v>
      </c>
      <c r="C33" s="152">
        <v>0.52</v>
      </c>
      <c r="D33" s="154">
        <f>C33*B8*12</f>
        <v>10707.216</v>
      </c>
    </row>
    <row r="34" spans="1:4" ht="15" customHeight="1">
      <c r="A34" s="9" t="s">
        <v>23</v>
      </c>
      <c r="B34" s="23" t="s">
        <v>80</v>
      </c>
      <c r="C34" s="152"/>
      <c r="D34" s="155"/>
    </row>
    <row r="35" spans="1:4" ht="13.5" customHeight="1">
      <c r="A35" s="9" t="s">
        <v>25</v>
      </c>
      <c r="B35" s="23" t="s">
        <v>80</v>
      </c>
      <c r="C35" s="152"/>
      <c r="D35" s="155"/>
    </row>
    <row r="36" spans="1:4" ht="36" customHeight="1">
      <c r="A36" s="9" t="s">
        <v>26</v>
      </c>
      <c r="B36" s="22" t="s">
        <v>22</v>
      </c>
      <c r="C36" s="152"/>
      <c r="D36" s="155"/>
    </row>
    <row r="37" spans="1:4" ht="14.25" customHeight="1">
      <c r="A37" s="9" t="s">
        <v>27</v>
      </c>
      <c r="B37" s="22" t="s">
        <v>24</v>
      </c>
      <c r="C37" s="152"/>
      <c r="D37" s="155"/>
    </row>
    <row r="38" spans="1:4" ht="33.75" customHeight="1">
      <c r="A38" s="24" t="s">
        <v>28</v>
      </c>
      <c r="B38" s="22" t="s">
        <v>22</v>
      </c>
      <c r="C38" s="153"/>
      <c r="D38" s="156"/>
    </row>
    <row r="39" spans="1:4" ht="15.75" customHeight="1">
      <c r="A39" s="167" t="s">
        <v>65</v>
      </c>
      <c r="B39" s="167"/>
      <c r="C39" s="167"/>
      <c r="D39" s="167"/>
    </row>
    <row r="40" spans="1:4" ht="36.75" customHeight="1">
      <c r="A40" s="9" t="s">
        <v>66</v>
      </c>
      <c r="B40" s="22" t="s">
        <v>79</v>
      </c>
      <c r="C40" s="154">
        <v>1.19</v>
      </c>
      <c r="D40" s="152">
        <f>C40*B8*12</f>
        <v>24503.052</v>
      </c>
    </row>
    <row r="41" spans="1:4" ht="14.25" customHeight="1">
      <c r="A41" s="9" t="s">
        <v>67</v>
      </c>
      <c r="B41" s="22" t="s">
        <v>80</v>
      </c>
      <c r="C41" s="154"/>
      <c r="D41" s="168"/>
    </row>
    <row r="42" spans="1:4" ht="14.25" customHeight="1">
      <c r="A42" s="9" t="s">
        <v>68</v>
      </c>
      <c r="B42" s="22" t="s">
        <v>80</v>
      </c>
      <c r="C42" s="154"/>
      <c r="D42" s="168"/>
    </row>
    <row r="43" spans="1:4" ht="24" customHeight="1">
      <c r="A43" s="9" t="s">
        <v>69</v>
      </c>
      <c r="B43" s="22" t="s">
        <v>79</v>
      </c>
      <c r="C43" s="154"/>
      <c r="D43" s="168"/>
    </row>
    <row r="44" spans="1:4" ht="25.5" customHeight="1">
      <c r="A44" s="10" t="s">
        <v>70</v>
      </c>
      <c r="B44" s="22" t="s">
        <v>79</v>
      </c>
      <c r="C44" s="154"/>
      <c r="D44" s="168"/>
    </row>
    <row r="45" spans="1:4" ht="14.25" customHeight="1">
      <c r="A45" s="9" t="s">
        <v>71</v>
      </c>
      <c r="B45" s="22" t="s">
        <v>24</v>
      </c>
      <c r="C45" s="154"/>
      <c r="D45" s="162"/>
    </row>
    <row r="46" spans="1:4" ht="11.25" customHeight="1">
      <c r="A46" s="169" t="s">
        <v>29</v>
      </c>
      <c r="B46" s="169"/>
      <c r="C46" s="169"/>
      <c r="D46" s="169"/>
    </row>
    <row r="47" spans="1:4" ht="35.25" customHeight="1">
      <c r="A47" s="9" t="s">
        <v>30</v>
      </c>
      <c r="B47" s="22" t="s">
        <v>22</v>
      </c>
      <c r="C47" s="154">
        <v>1.81</v>
      </c>
      <c r="D47" s="152">
        <f>C47*12*B8</f>
        <v>37269.347999999998</v>
      </c>
    </row>
    <row r="48" spans="1:4" ht="38.25" customHeight="1">
      <c r="A48" s="9" t="s">
        <v>31</v>
      </c>
      <c r="B48" s="22" t="s">
        <v>22</v>
      </c>
      <c r="C48" s="154"/>
      <c r="D48" s="152"/>
    </row>
    <row r="49" spans="1:4" ht="15" customHeight="1">
      <c r="A49" s="10" t="s">
        <v>32</v>
      </c>
      <c r="B49" s="22" t="s">
        <v>22</v>
      </c>
      <c r="C49" s="154"/>
      <c r="D49" s="152"/>
    </row>
    <row r="50" spans="1:4" ht="12.75" customHeight="1">
      <c r="A50" s="167" t="s">
        <v>33</v>
      </c>
      <c r="B50" s="167"/>
      <c r="C50" s="167"/>
      <c r="D50" s="167"/>
    </row>
    <row r="51" spans="1:4" ht="29.25" customHeight="1">
      <c r="A51" s="9" t="s">
        <v>34</v>
      </c>
      <c r="B51" s="22" t="s">
        <v>77</v>
      </c>
      <c r="C51" s="154">
        <v>2.44</v>
      </c>
      <c r="D51" s="154">
        <f>C51*12*B8</f>
        <v>50241.552000000003</v>
      </c>
    </row>
    <row r="52" spans="1:4" ht="14.25" customHeight="1">
      <c r="A52" s="9" t="s">
        <v>35</v>
      </c>
      <c r="B52" s="22" t="s">
        <v>81</v>
      </c>
      <c r="C52" s="154"/>
      <c r="D52" s="154"/>
    </row>
    <row r="53" spans="1:4" ht="17.25" customHeight="1">
      <c r="A53" s="9" t="s">
        <v>36</v>
      </c>
      <c r="B53" s="22" t="s">
        <v>81</v>
      </c>
      <c r="C53" s="154"/>
      <c r="D53" s="154"/>
    </row>
    <row r="54" spans="1:4" ht="24.75" customHeight="1">
      <c r="A54" s="9" t="s">
        <v>37</v>
      </c>
      <c r="B54" s="22" t="s">
        <v>82</v>
      </c>
      <c r="C54" s="154"/>
      <c r="D54" s="154"/>
    </row>
    <row r="55" spans="1:4" ht="30" customHeight="1">
      <c r="A55" s="9" t="s">
        <v>38</v>
      </c>
      <c r="B55" s="22" t="s">
        <v>82</v>
      </c>
      <c r="C55" s="154"/>
      <c r="D55" s="154"/>
    </row>
    <row r="56" spans="1:4" ht="12.75" customHeight="1">
      <c r="A56" s="88" t="s">
        <v>95</v>
      </c>
      <c r="B56" s="6"/>
      <c r="C56" s="154"/>
      <c r="D56" s="154"/>
    </row>
    <row r="57" spans="1:4" ht="35.25" customHeight="1">
      <c r="A57" s="9" t="s">
        <v>40</v>
      </c>
      <c r="B57" s="22" t="s">
        <v>79</v>
      </c>
      <c r="C57" s="154"/>
      <c r="D57" s="154"/>
    </row>
    <row r="58" spans="1:4" ht="14.25" customHeight="1">
      <c r="A58" s="9" t="s">
        <v>41</v>
      </c>
      <c r="B58" s="22" t="s">
        <v>80</v>
      </c>
      <c r="C58" s="154"/>
      <c r="D58" s="154"/>
    </row>
    <row r="59" spans="1:4" ht="14.25" customHeight="1">
      <c r="A59" s="9" t="s">
        <v>42</v>
      </c>
      <c r="B59" s="23" t="s">
        <v>80</v>
      </c>
      <c r="C59" s="154"/>
      <c r="D59" s="154"/>
    </row>
    <row r="60" spans="1:4" ht="13.5" customHeight="1">
      <c r="A60" s="9" t="s">
        <v>43</v>
      </c>
      <c r="B60" s="23" t="s">
        <v>80</v>
      </c>
      <c r="C60" s="154"/>
      <c r="D60" s="154"/>
    </row>
    <row r="61" spans="1:4" ht="13.5" customHeight="1">
      <c r="A61" s="9" t="s">
        <v>44</v>
      </c>
      <c r="B61" s="21" t="s">
        <v>206</v>
      </c>
      <c r="C61" s="154"/>
      <c r="D61" s="154"/>
    </row>
    <row r="62" spans="1:4" ht="36.75" customHeight="1">
      <c r="A62" s="10" t="s">
        <v>45</v>
      </c>
      <c r="B62" s="22" t="s">
        <v>22</v>
      </c>
      <c r="C62" s="154"/>
      <c r="D62" s="154"/>
    </row>
    <row r="63" spans="1:4">
      <c r="A63" s="167" t="s">
        <v>46</v>
      </c>
      <c r="B63" s="167"/>
      <c r="C63" s="167"/>
      <c r="D63" s="167"/>
    </row>
    <row r="64" spans="1:4" ht="15.75" customHeight="1">
      <c r="A64" s="9" t="s">
        <v>47</v>
      </c>
      <c r="B64" s="22" t="s">
        <v>83</v>
      </c>
      <c r="C64" s="152">
        <v>1.49</v>
      </c>
      <c r="D64" s="154">
        <f>C64*B8*12-1727.44</f>
        <v>28952.852000000003</v>
      </c>
    </row>
    <row r="65" spans="1:4" ht="12.75" customHeight="1">
      <c r="A65" s="9" t="s">
        <v>48</v>
      </c>
      <c r="B65" s="22" t="s">
        <v>83</v>
      </c>
      <c r="C65" s="152"/>
      <c r="D65" s="154"/>
    </row>
    <row r="66" spans="1:4" ht="15.75" customHeight="1">
      <c r="A66" s="9" t="s">
        <v>49</v>
      </c>
      <c r="B66" s="22" t="s">
        <v>83</v>
      </c>
      <c r="C66" s="152"/>
      <c r="D66" s="154"/>
    </row>
    <row r="67" spans="1:4" ht="16.5" customHeight="1">
      <c r="A67" s="9" t="s">
        <v>50</v>
      </c>
      <c r="B67" s="22" t="s">
        <v>83</v>
      </c>
      <c r="C67" s="152"/>
      <c r="D67" s="154"/>
    </row>
    <row r="68" spans="1:4" ht="39.75" customHeight="1">
      <c r="A68" s="10" t="s">
        <v>51</v>
      </c>
      <c r="B68" s="22" t="s">
        <v>22</v>
      </c>
      <c r="C68" s="152"/>
      <c r="D68" s="154"/>
    </row>
    <row r="69" spans="1:4" ht="16.5" customHeight="1">
      <c r="A69" s="10" t="s">
        <v>52</v>
      </c>
      <c r="B69" s="23" t="s">
        <v>84</v>
      </c>
      <c r="C69" s="152"/>
      <c r="D69" s="154"/>
    </row>
    <row r="70" spans="1:4">
      <c r="A70" s="157" t="s">
        <v>85</v>
      </c>
      <c r="B70" s="158"/>
      <c r="C70" s="158"/>
      <c r="D70" s="159"/>
    </row>
    <row r="71" spans="1:4" ht="26.25" customHeight="1">
      <c r="A71" s="175" t="s">
        <v>96</v>
      </c>
      <c r="B71" s="177" t="s">
        <v>86</v>
      </c>
      <c r="C71" s="152">
        <v>2.41</v>
      </c>
      <c r="D71" s="154">
        <f>C71*B8*12</f>
        <v>49623.828000000009</v>
      </c>
    </row>
    <row r="72" spans="1:4" ht="13.5" customHeight="1">
      <c r="A72" s="176"/>
      <c r="B72" s="177"/>
      <c r="C72" s="152"/>
      <c r="D72" s="154"/>
    </row>
    <row r="73" spans="1:4" ht="15" customHeight="1">
      <c r="A73" s="157" t="s">
        <v>55</v>
      </c>
      <c r="B73" s="158"/>
      <c r="C73" s="158"/>
      <c r="D73" s="159"/>
    </row>
    <row r="74" spans="1:4" ht="16.5" customHeight="1">
      <c r="A74" s="6" t="s">
        <v>90</v>
      </c>
      <c r="B74" s="21" t="s">
        <v>87</v>
      </c>
      <c r="C74" s="170">
        <v>2.14</v>
      </c>
      <c r="D74" s="172">
        <f>51124.72-7305.06</f>
        <v>43819.66</v>
      </c>
    </row>
    <row r="75" spans="1:4">
      <c r="A75" s="6" t="s">
        <v>91</v>
      </c>
      <c r="B75" s="21" t="s">
        <v>87</v>
      </c>
      <c r="C75" s="171"/>
      <c r="D75" s="173"/>
    </row>
    <row r="76" spans="1:4" ht="15" customHeight="1">
      <c r="A76" s="6" t="s">
        <v>92</v>
      </c>
      <c r="B76" s="21" t="s">
        <v>87</v>
      </c>
      <c r="C76" s="169"/>
      <c r="D76" s="174"/>
    </row>
    <row r="77" spans="1:4" ht="38.25" customHeight="1">
      <c r="A77" s="6" t="s">
        <v>143</v>
      </c>
      <c r="B77" s="22" t="s">
        <v>22</v>
      </c>
      <c r="C77" s="89">
        <v>4.3499999999999996</v>
      </c>
      <c r="D77" s="89">
        <v>86025.76</v>
      </c>
    </row>
    <row r="78" spans="1:4" ht="18" customHeight="1">
      <c r="A78" s="6" t="s">
        <v>204</v>
      </c>
      <c r="B78" s="22"/>
      <c r="C78" s="89"/>
      <c r="D78" s="89">
        <f>-58.4*12*15.13</f>
        <v>-10603.103999999999</v>
      </c>
    </row>
    <row r="79" spans="1:4">
      <c r="A79" s="88" t="s">
        <v>56</v>
      </c>
      <c r="B79" s="23"/>
      <c r="C79" s="28">
        <f>C77+C74+C71+C64+C51+C47+C40+C33+C29+C22+C19+C18+C17+C16+C13</f>
        <v>21.62</v>
      </c>
      <c r="D79" s="28">
        <f>D77+D74+D71+D64+D51+D47+D40+D33+D29+D22+D19+D18+D17+D16+D13+D78</f>
        <v>429053.68000000005</v>
      </c>
    </row>
    <row r="80" spans="1:4">
      <c r="C80" t="s">
        <v>201</v>
      </c>
    </row>
    <row r="82" spans="4:4">
      <c r="D82" s="40"/>
    </row>
    <row r="84" spans="4:4">
      <c r="D84" s="40"/>
    </row>
  </sheetData>
  <mergeCells count="34">
    <mergeCell ref="C51:C62"/>
    <mergeCell ref="D51:D62"/>
    <mergeCell ref="A73:D73"/>
    <mergeCell ref="C74:C76"/>
    <mergeCell ref="D74:D76"/>
    <mergeCell ref="A63:D63"/>
    <mergeCell ref="C64:C69"/>
    <mergeCell ref="D64:D69"/>
    <mergeCell ref="A70:D70"/>
    <mergeCell ref="A71:A72"/>
    <mergeCell ref="B71:B72"/>
    <mergeCell ref="C71:C72"/>
    <mergeCell ref="D71:D72"/>
    <mergeCell ref="A46:D46"/>
    <mergeCell ref="C47:C49"/>
    <mergeCell ref="D47:D49"/>
    <mergeCell ref="A50:D50"/>
    <mergeCell ref="D13:D14"/>
    <mergeCell ref="C40:C45"/>
    <mergeCell ref="D40:D45"/>
    <mergeCell ref="C29:C30"/>
    <mergeCell ref="D29:D30"/>
    <mergeCell ref="A31:D31"/>
    <mergeCell ref="A32:D32"/>
    <mergeCell ref="C33:C38"/>
    <mergeCell ref="D33:D38"/>
    <mergeCell ref="A39:D39"/>
    <mergeCell ref="A12:D12"/>
    <mergeCell ref="A20:D20"/>
    <mergeCell ref="C22:C27"/>
    <mergeCell ref="D22:D27"/>
    <mergeCell ref="A28:D28"/>
    <mergeCell ref="B13:B14"/>
    <mergeCell ref="C13:C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83"/>
  <sheetViews>
    <sheetView topLeftCell="A19" workbookViewId="0">
      <selection activeCell="A13" sqref="A13:D14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240</v>
      </c>
      <c r="B2" s="2"/>
      <c r="C2" s="2"/>
      <c r="D2" s="2"/>
    </row>
    <row r="3" spans="1:4">
      <c r="A3" s="1" t="s">
        <v>285</v>
      </c>
      <c r="B3" s="2"/>
      <c r="C3" s="2"/>
      <c r="D3" s="2"/>
    </row>
    <row r="4" spans="1:4">
      <c r="A4" s="25" t="s">
        <v>58</v>
      </c>
      <c r="B4" s="2">
        <v>1991</v>
      </c>
      <c r="C4" s="2"/>
      <c r="D4" s="2"/>
    </row>
    <row r="5" spans="1:4">
      <c r="A5" s="25" t="s">
        <v>59</v>
      </c>
      <c r="B5" s="2">
        <v>4</v>
      </c>
      <c r="C5" s="2"/>
      <c r="D5" s="2"/>
    </row>
    <row r="6" spans="1:4">
      <c r="A6" s="25" t="s">
        <v>60</v>
      </c>
      <c r="B6" s="2">
        <v>3</v>
      </c>
      <c r="C6" s="2"/>
      <c r="D6" s="2"/>
    </row>
    <row r="7" spans="1:4">
      <c r="A7" s="25" t="s">
        <v>61</v>
      </c>
      <c r="B7" s="2">
        <v>36</v>
      </c>
      <c r="C7" s="2"/>
      <c r="D7" s="2"/>
    </row>
    <row r="8" spans="1:4">
      <c r="A8" s="25" t="s">
        <v>72</v>
      </c>
      <c r="B8" s="2">
        <v>1715.9</v>
      </c>
      <c r="C8" s="2"/>
      <c r="D8" s="2"/>
    </row>
    <row r="9" spans="1:4">
      <c r="A9" s="25" t="s">
        <v>62</v>
      </c>
      <c r="B9" s="2">
        <v>173</v>
      </c>
      <c r="C9" s="2"/>
      <c r="D9" s="2"/>
    </row>
    <row r="10" spans="1:4">
      <c r="A10" s="25" t="s">
        <v>73</v>
      </c>
      <c r="B10" s="46">
        <v>442.4</v>
      </c>
      <c r="C10" s="2"/>
      <c r="D10" s="2"/>
    </row>
    <row r="11" spans="1:4" ht="36.75">
      <c r="A11" s="91" t="s">
        <v>1</v>
      </c>
      <c r="B11" s="91" t="s">
        <v>2</v>
      </c>
      <c r="C11" s="91" t="s">
        <v>3</v>
      </c>
      <c r="D11" s="91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1.02</v>
      </c>
      <c r="D13" s="163">
        <f>C13*12*B8</f>
        <v>21002.616000000002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6" t="s">
        <v>9</v>
      </c>
      <c r="B15" s="91"/>
      <c r="C15" s="26"/>
      <c r="D15" s="30"/>
    </row>
    <row r="16" spans="1:4">
      <c r="A16" s="6" t="s">
        <v>351</v>
      </c>
      <c r="B16" s="132" t="s">
        <v>88</v>
      </c>
      <c r="C16" s="44">
        <v>0.72</v>
      </c>
      <c r="D16" s="30">
        <f>C16*12*B8</f>
        <v>14825.376000000002</v>
      </c>
    </row>
    <row r="17" spans="1:4">
      <c r="A17" s="6" t="s">
        <v>352</v>
      </c>
      <c r="B17" s="132" t="s">
        <v>88</v>
      </c>
      <c r="C17" s="44">
        <v>0.31</v>
      </c>
      <c r="D17" s="30">
        <f>C17*12*B8</f>
        <v>6383.1480000000001</v>
      </c>
    </row>
    <row r="18" spans="1:4">
      <c r="A18" s="6" t="s">
        <v>353</v>
      </c>
      <c r="B18" s="132" t="s">
        <v>88</v>
      </c>
      <c r="C18" s="44">
        <v>0.08</v>
      </c>
      <c r="D18" s="30">
        <f>C18*12*B8</f>
        <v>1647.2640000000001</v>
      </c>
    </row>
    <row r="19" spans="1:4">
      <c r="A19" s="165" t="s">
        <v>10</v>
      </c>
      <c r="B19" s="165"/>
      <c r="C19" s="165"/>
      <c r="D19" s="165"/>
    </row>
    <row r="20" spans="1:4" ht="13.5" customHeight="1">
      <c r="A20" s="39" t="s">
        <v>97</v>
      </c>
      <c r="B20" s="88"/>
      <c r="C20" s="88"/>
      <c r="D20" s="88"/>
    </row>
    <row r="21" spans="1:4" ht="13.5" customHeight="1">
      <c r="A21" s="6" t="s">
        <v>11</v>
      </c>
      <c r="B21" s="91" t="s">
        <v>75</v>
      </c>
      <c r="C21" s="152">
        <v>2.16</v>
      </c>
      <c r="D21" s="166">
        <f>C21*B8*12</f>
        <v>44476.128000000004</v>
      </c>
    </row>
    <row r="22" spans="1:4" ht="12.75" customHeight="1">
      <c r="A22" s="6" t="s">
        <v>12</v>
      </c>
      <c r="B22" s="91" t="s">
        <v>75</v>
      </c>
      <c r="C22" s="152"/>
      <c r="D22" s="155"/>
    </row>
    <row r="23" spans="1:4" ht="14.25" customHeight="1">
      <c r="A23" s="6" t="s">
        <v>13</v>
      </c>
      <c r="B23" s="91" t="s">
        <v>75</v>
      </c>
      <c r="C23" s="152"/>
      <c r="D23" s="155"/>
    </row>
    <row r="24" spans="1:4" ht="13.5" customHeight="1">
      <c r="A24" s="6" t="s">
        <v>14</v>
      </c>
      <c r="B24" s="91" t="s">
        <v>76</v>
      </c>
      <c r="C24" s="152"/>
      <c r="D24" s="155"/>
    </row>
    <row r="25" spans="1:4" ht="12.75" customHeight="1">
      <c r="A25" s="39" t="s">
        <v>93</v>
      </c>
      <c r="B25" s="91"/>
      <c r="C25" s="152"/>
      <c r="D25" s="155"/>
    </row>
    <row r="26" spans="1:4" ht="30" customHeight="1">
      <c r="A26" s="6" t="s">
        <v>15</v>
      </c>
      <c r="B26" s="91" t="s">
        <v>94</v>
      </c>
      <c r="C26" s="152"/>
      <c r="D26" s="156"/>
    </row>
    <row r="27" spans="1:4" ht="12.75" customHeight="1">
      <c r="A27" s="157" t="s">
        <v>16</v>
      </c>
      <c r="B27" s="158"/>
      <c r="C27" s="158"/>
      <c r="D27" s="159"/>
    </row>
    <row r="28" spans="1:4" ht="12" customHeight="1">
      <c r="A28" s="7" t="s">
        <v>17</v>
      </c>
      <c r="B28" s="21" t="s">
        <v>78</v>
      </c>
      <c r="C28" s="152">
        <v>0.2</v>
      </c>
      <c r="D28" s="167">
        <f>C28*B8*12</f>
        <v>4118.1600000000008</v>
      </c>
    </row>
    <row r="29" spans="1:4" ht="12" customHeight="1">
      <c r="A29" s="7" t="s">
        <v>18</v>
      </c>
      <c r="B29" s="21" t="s">
        <v>77</v>
      </c>
      <c r="C29" s="152"/>
      <c r="D29" s="167"/>
    </row>
    <row r="30" spans="1:4" ht="13.5" customHeight="1">
      <c r="A30" s="157" t="s">
        <v>19</v>
      </c>
      <c r="B30" s="158"/>
      <c r="C30" s="158"/>
      <c r="D30" s="159"/>
    </row>
    <row r="31" spans="1:4">
      <c r="A31" s="167" t="s">
        <v>20</v>
      </c>
      <c r="B31" s="167"/>
      <c r="C31" s="167"/>
      <c r="D31" s="167"/>
    </row>
    <row r="32" spans="1:4" ht="37.5" customHeight="1">
      <c r="A32" s="8" t="s">
        <v>21</v>
      </c>
      <c r="B32" s="22" t="s">
        <v>79</v>
      </c>
      <c r="C32" s="152">
        <v>0.52</v>
      </c>
      <c r="D32" s="154">
        <f>C32*B8*12</f>
        <v>10707.216</v>
      </c>
    </row>
    <row r="33" spans="1:4" ht="15" customHeight="1">
      <c r="A33" s="9" t="s">
        <v>23</v>
      </c>
      <c r="B33" s="23" t="s">
        <v>80</v>
      </c>
      <c r="C33" s="152"/>
      <c r="D33" s="155"/>
    </row>
    <row r="34" spans="1:4" ht="13.5" customHeight="1">
      <c r="A34" s="9" t="s">
        <v>25</v>
      </c>
      <c r="B34" s="23" t="s">
        <v>80</v>
      </c>
      <c r="C34" s="152"/>
      <c r="D34" s="155"/>
    </row>
    <row r="35" spans="1:4" ht="36" customHeight="1">
      <c r="A35" s="9" t="s">
        <v>26</v>
      </c>
      <c r="B35" s="22" t="s">
        <v>22</v>
      </c>
      <c r="C35" s="152"/>
      <c r="D35" s="155"/>
    </row>
    <row r="36" spans="1:4" ht="14.25" customHeight="1">
      <c r="A36" s="9" t="s">
        <v>27</v>
      </c>
      <c r="B36" s="22" t="s">
        <v>24</v>
      </c>
      <c r="C36" s="152"/>
      <c r="D36" s="155"/>
    </row>
    <row r="37" spans="1:4" ht="33.75" customHeight="1">
      <c r="A37" s="24" t="s">
        <v>28</v>
      </c>
      <c r="B37" s="22" t="s">
        <v>22</v>
      </c>
      <c r="C37" s="153"/>
      <c r="D37" s="156"/>
    </row>
    <row r="38" spans="1:4" ht="15.75" customHeight="1">
      <c r="A38" s="167" t="s">
        <v>65</v>
      </c>
      <c r="B38" s="167"/>
      <c r="C38" s="167"/>
      <c r="D38" s="167"/>
    </row>
    <row r="39" spans="1:4" ht="36.75" customHeight="1">
      <c r="A39" s="9" t="s">
        <v>66</v>
      </c>
      <c r="B39" s="22" t="s">
        <v>79</v>
      </c>
      <c r="C39" s="154">
        <v>1.74</v>
      </c>
      <c r="D39" s="152">
        <f>C39*B8*12</f>
        <v>35827.991999999998</v>
      </c>
    </row>
    <row r="40" spans="1:4" ht="14.25" customHeight="1">
      <c r="A40" s="9" t="s">
        <v>67</v>
      </c>
      <c r="B40" s="22" t="s">
        <v>80</v>
      </c>
      <c r="C40" s="154"/>
      <c r="D40" s="168"/>
    </row>
    <row r="41" spans="1:4" ht="14.25" customHeight="1">
      <c r="A41" s="9" t="s">
        <v>68</v>
      </c>
      <c r="B41" s="22" t="s">
        <v>80</v>
      </c>
      <c r="C41" s="154"/>
      <c r="D41" s="168"/>
    </row>
    <row r="42" spans="1:4" ht="24" customHeight="1">
      <c r="A42" s="9" t="s">
        <v>69</v>
      </c>
      <c r="B42" s="22" t="s">
        <v>79</v>
      </c>
      <c r="C42" s="154"/>
      <c r="D42" s="168"/>
    </row>
    <row r="43" spans="1:4" ht="25.5" customHeight="1">
      <c r="A43" s="10" t="s">
        <v>70</v>
      </c>
      <c r="B43" s="22" t="s">
        <v>79</v>
      </c>
      <c r="C43" s="154"/>
      <c r="D43" s="168"/>
    </row>
    <row r="44" spans="1:4" ht="14.25" customHeight="1">
      <c r="A44" s="9" t="s">
        <v>71</v>
      </c>
      <c r="B44" s="22" t="s">
        <v>24</v>
      </c>
      <c r="C44" s="154"/>
      <c r="D44" s="162"/>
    </row>
    <row r="45" spans="1:4" ht="11.25" customHeight="1">
      <c r="A45" s="169" t="s">
        <v>29</v>
      </c>
      <c r="B45" s="169"/>
      <c r="C45" s="169"/>
      <c r="D45" s="169"/>
    </row>
    <row r="46" spans="1:4" ht="35.25" customHeight="1">
      <c r="A46" s="9" t="s">
        <v>30</v>
      </c>
      <c r="B46" s="22" t="s">
        <v>22</v>
      </c>
      <c r="C46" s="154">
        <v>1.81</v>
      </c>
      <c r="D46" s="152">
        <f>C46*12*B8</f>
        <v>37269.347999999998</v>
      </c>
    </row>
    <row r="47" spans="1:4" ht="38.25" customHeight="1">
      <c r="A47" s="9" t="s">
        <v>31</v>
      </c>
      <c r="B47" s="22" t="s">
        <v>22</v>
      </c>
      <c r="C47" s="154"/>
      <c r="D47" s="152"/>
    </row>
    <row r="48" spans="1:4" ht="15" customHeight="1">
      <c r="A48" s="10" t="s">
        <v>32</v>
      </c>
      <c r="B48" s="22" t="s">
        <v>22</v>
      </c>
      <c r="C48" s="154"/>
      <c r="D48" s="152"/>
    </row>
    <row r="49" spans="1:4" ht="12.75" customHeight="1">
      <c r="A49" s="167" t="s">
        <v>33</v>
      </c>
      <c r="B49" s="167"/>
      <c r="C49" s="167"/>
      <c r="D49" s="167"/>
    </row>
    <row r="50" spans="1:4" ht="29.25" customHeight="1">
      <c r="A50" s="9" t="s">
        <v>34</v>
      </c>
      <c r="B50" s="22" t="s">
        <v>77</v>
      </c>
      <c r="C50" s="154">
        <v>2.4500000000000002</v>
      </c>
      <c r="D50" s="154">
        <f>C50*12*B8</f>
        <v>50447.460000000006</v>
      </c>
    </row>
    <row r="51" spans="1:4" ht="14.25" customHeight="1">
      <c r="A51" s="9" t="s">
        <v>35</v>
      </c>
      <c r="B51" s="22" t="s">
        <v>81</v>
      </c>
      <c r="C51" s="154"/>
      <c r="D51" s="154"/>
    </row>
    <row r="52" spans="1:4" ht="17.25" customHeight="1">
      <c r="A52" s="9" t="s">
        <v>36</v>
      </c>
      <c r="B52" s="22" t="s">
        <v>81</v>
      </c>
      <c r="C52" s="154"/>
      <c r="D52" s="154"/>
    </row>
    <row r="53" spans="1:4" ht="24.75" customHeight="1">
      <c r="A53" s="9" t="s">
        <v>37</v>
      </c>
      <c r="B53" s="22" t="s">
        <v>82</v>
      </c>
      <c r="C53" s="154"/>
      <c r="D53" s="154"/>
    </row>
    <row r="54" spans="1:4" ht="30" customHeight="1">
      <c r="A54" s="9" t="s">
        <v>38</v>
      </c>
      <c r="B54" s="22" t="s">
        <v>82</v>
      </c>
      <c r="C54" s="154"/>
      <c r="D54" s="154"/>
    </row>
    <row r="55" spans="1:4" ht="12.75" customHeight="1">
      <c r="A55" s="88" t="s">
        <v>95</v>
      </c>
      <c r="B55" s="6"/>
      <c r="C55" s="154"/>
      <c r="D55" s="154"/>
    </row>
    <row r="56" spans="1:4" ht="35.25" customHeight="1">
      <c r="A56" s="9" t="s">
        <v>40</v>
      </c>
      <c r="B56" s="22" t="s">
        <v>79</v>
      </c>
      <c r="C56" s="154"/>
      <c r="D56" s="154"/>
    </row>
    <row r="57" spans="1:4" ht="14.25" customHeight="1">
      <c r="A57" s="9" t="s">
        <v>41</v>
      </c>
      <c r="B57" s="22" t="s">
        <v>80</v>
      </c>
      <c r="C57" s="154"/>
      <c r="D57" s="154"/>
    </row>
    <row r="58" spans="1:4" ht="14.25" customHeight="1">
      <c r="A58" s="9" t="s">
        <v>42</v>
      </c>
      <c r="B58" s="23" t="s">
        <v>80</v>
      </c>
      <c r="C58" s="154"/>
      <c r="D58" s="154"/>
    </row>
    <row r="59" spans="1:4" ht="13.5" customHeight="1">
      <c r="A59" s="9" t="s">
        <v>43</v>
      </c>
      <c r="B59" s="23" t="s">
        <v>80</v>
      </c>
      <c r="C59" s="154"/>
      <c r="D59" s="154"/>
    </row>
    <row r="60" spans="1:4" ht="13.5" customHeight="1">
      <c r="A60" s="9" t="s">
        <v>44</v>
      </c>
      <c r="B60" s="21" t="s">
        <v>202</v>
      </c>
      <c r="C60" s="154"/>
      <c r="D60" s="154"/>
    </row>
    <row r="61" spans="1:4" ht="36.75" customHeight="1">
      <c r="A61" s="10" t="s">
        <v>45</v>
      </c>
      <c r="B61" s="22" t="s">
        <v>22</v>
      </c>
      <c r="C61" s="154"/>
      <c r="D61" s="154"/>
    </row>
    <row r="62" spans="1:4">
      <c r="A62" s="167" t="s">
        <v>46</v>
      </c>
      <c r="B62" s="167"/>
      <c r="C62" s="167"/>
      <c r="D62" s="167"/>
    </row>
    <row r="63" spans="1:4" ht="15.75" customHeight="1">
      <c r="A63" s="9" t="s">
        <v>47</v>
      </c>
      <c r="B63" s="22" t="s">
        <v>83</v>
      </c>
      <c r="C63" s="152">
        <v>1.7</v>
      </c>
      <c r="D63" s="154">
        <f>C63*B8*12+206.39</f>
        <v>35210.75</v>
      </c>
    </row>
    <row r="64" spans="1:4" ht="12.75" customHeight="1">
      <c r="A64" s="9" t="s">
        <v>48</v>
      </c>
      <c r="B64" s="22" t="s">
        <v>83</v>
      </c>
      <c r="C64" s="152"/>
      <c r="D64" s="154"/>
    </row>
    <row r="65" spans="1:4" ht="15.75" customHeight="1">
      <c r="A65" s="9" t="s">
        <v>49</v>
      </c>
      <c r="B65" s="22" t="s">
        <v>83</v>
      </c>
      <c r="C65" s="152"/>
      <c r="D65" s="154"/>
    </row>
    <row r="66" spans="1:4" ht="16.5" customHeight="1">
      <c r="A66" s="9" t="s">
        <v>50</v>
      </c>
      <c r="B66" s="22" t="s">
        <v>83</v>
      </c>
      <c r="C66" s="152"/>
      <c r="D66" s="154"/>
    </row>
    <row r="67" spans="1:4" ht="39.75" customHeight="1">
      <c r="A67" s="10" t="s">
        <v>51</v>
      </c>
      <c r="B67" s="22" t="s">
        <v>22</v>
      </c>
      <c r="C67" s="152"/>
      <c r="D67" s="154"/>
    </row>
    <row r="68" spans="1:4" ht="16.5" customHeight="1">
      <c r="A68" s="10" t="s">
        <v>52</v>
      </c>
      <c r="B68" s="23" t="s">
        <v>84</v>
      </c>
      <c r="C68" s="152"/>
      <c r="D68" s="154"/>
    </row>
    <row r="69" spans="1:4">
      <c r="A69" s="157" t="s">
        <v>85</v>
      </c>
      <c r="B69" s="158"/>
      <c r="C69" s="158"/>
      <c r="D69" s="159"/>
    </row>
    <row r="70" spans="1:4" ht="26.25" customHeight="1">
      <c r="A70" s="175" t="s">
        <v>96</v>
      </c>
      <c r="B70" s="177" t="s">
        <v>86</v>
      </c>
      <c r="C70" s="152">
        <v>2.41</v>
      </c>
      <c r="D70" s="154">
        <f>C70*B8*12</f>
        <v>49623.828000000009</v>
      </c>
    </row>
    <row r="71" spans="1:4" ht="13.5" customHeight="1">
      <c r="A71" s="176"/>
      <c r="B71" s="177"/>
      <c r="C71" s="152"/>
      <c r="D71" s="154"/>
    </row>
    <row r="72" spans="1:4" ht="15" customHeight="1">
      <c r="A72" s="157" t="s">
        <v>55</v>
      </c>
      <c r="B72" s="158"/>
      <c r="C72" s="158"/>
      <c r="D72" s="159"/>
    </row>
    <row r="73" spans="1:4" ht="16.5" customHeight="1">
      <c r="A73" s="6" t="s">
        <v>90</v>
      </c>
      <c r="B73" s="21" t="s">
        <v>87</v>
      </c>
      <c r="C73" s="170">
        <v>2.14</v>
      </c>
      <c r="D73" s="172">
        <f>C73*12*B8</f>
        <v>44064.312000000005</v>
      </c>
    </row>
    <row r="74" spans="1:4">
      <c r="A74" s="6" t="s">
        <v>91</v>
      </c>
      <c r="B74" s="21" t="s">
        <v>87</v>
      </c>
      <c r="C74" s="171"/>
      <c r="D74" s="173"/>
    </row>
    <row r="75" spans="1:4" ht="15" customHeight="1">
      <c r="A75" s="6" t="s">
        <v>92</v>
      </c>
      <c r="B75" s="21" t="s">
        <v>87</v>
      </c>
      <c r="C75" s="169"/>
      <c r="D75" s="174"/>
    </row>
    <row r="76" spans="1:4" ht="38.25" customHeight="1">
      <c r="A76" s="6" t="s">
        <v>143</v>
      </c>
      <c r="B76" s="22" t="s">
        <v>22</v>
      </c>
      <c r="C76" s="89">
        <v>4.3499999999999996</v>
      </c>
      <c r="D76" s="89">
        <v>86955.6</v>
      </c>
    </row>
    <row r="77" spans="1:4" ht="18" customHeight="1">
      <c r="A77" s="6" t="s">
        <v>187</v>
      </c>
      <c r="B77" s="22"/>
      <c r="C77" s="89"/>
      <c r="D77" s="89">
        <f>-15.13*12*50.1</f>
        <v>-9096.1560000000009</v>
      </c>
    </row>
    <row r="78" spans="1:4">
      <c r="A78" s="88" t="s">
        <v>56</v>
      </c>
      <c r="B78" s="23"/>
      <c r="C78" s="28">
        <f>C76+C73+C70+C63+C50+C46+C39+C32+C28+C21+C18+C17+C16+C13</f>
        <v>21.609999999999996</v>
      </c>
      <c r="D78" s="28">
        <f>D76+D73+D70+D63+D50+D46+D39+D32+D28+D21+D18+D17+D16+D13+D77</f>
        <v>433463.04200000002</v>
      </c>
    </row>
    <row r="79" spans="1:4">
      <c r="C79" t="s">
        <v>201</v>
      </c>
    </row>
    <row r="80" spans="1:4">
      <c r="D80" s="40"/>
    </row>
    <row r="81" spans="4:4">
      <c r="D81" s="40"/>
    </row>
    <row r="82" spans="4:4">
      <c r="D82" s="40"/>
    </row>
    <row r="83" spans="4:4">
      <c r="D83" s="40"/>
    </row>
  </sheetData>
  <mergeCells count="34">
    <mergeCell ref="C50:C61"/>
    <mergeCell ref="D50:D61"/>
    <mergeCell ref="A72:D72"/>
    <mergeCell ref="C73:C75"/>
    <mergeCell ref="D73:D75"/>
    <mergeCell ref="A62:D62"/>
    <mergeCell ref="C63:C68"/>
    <mergeCell ref="D63:D68"/>
    <mergeCell ref="A69:D69"/>
    <mergeCell ref="A70:A71"/>
    <mergeCell ref="B70:B71"/>
    <mergeCell ref="C70:C71"/>
    <mergeCell ref="D70:D71"/>
    <mergeCell ref="A45:D45"/>
    <mergeCell ref="C46:C48"/>
    <mergeCell ref="D46:D48"/>
    <mergeCell ref="A49:D49"/>
    <mergeCell ref="D13:D14"/>
    <mergeCell ref="C39:C44"/>
    <mergeCell ref="D39:D44"/>
    <mergeCell ref="C28:C29"/>
    <mergeCell ref="D28:D29"/>
    <mergeCell ref="A30:D30"/>
    <mergeCell ref="A31:D31"/>
    <mergeCell ref="C32:C37"/>
    <mergeCell ref="D32:D37"/>
    <mergeCell ref="A38:D38"/>
    <mergeCell ref="A12:D12"/>
    <mergeCell ref="A19:D19"/>
    <mergeCell ref="C21:C26"/>
    <mergeCell ref="D21:D26"/>
    <mergeCell ref="A27:D27"/>
    <mergeCell ref="B13:B14"/>
    <mergeCell ref="C13:C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83"/>
  <sheetViews>
    <sheetView topLeftCell="A68" workbookViewId="0">
      <selection activeCell="D78" sqref="D78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248</v>
      </c>
      <c r="B2" s="2"/>
      <c r="C2" s="2"/>
      <c r="D2" s="2"/>
    </row>
    <row r="3" spans="1:4">
      <c r="A3" s="1" t="s">
        <v>249</v>
      </c>
      <c r="B3" s="2"/>
      <c r="C3" s="2"/>
      <c r="D3" s="2"/>
    </row>
    <row r="4" spans="1:4">
      <c r="A4" s="25" t="s">
        <v>58</v>
      </c>
      <c r="B4" s="2">
        <v>1986</v>
      </c>
      <c r="C4" s="2"/>
      <c r="D4" s="2"/>
    </row>
    <row r="5" spans="1:4">
      <c r="A5" s="25" t="s">
        <v>59</v>
      </c>
      <c r="B5" s="2">
        <v>4</v>
      </c>
      <c r="C5" s="2"/>
      <c r="D5" s="2"/>
    </row>
    <row r="6" spans="1:4">
      <c r="A6" s="25" t="s">
        <v>60</v>
      </c>
      <c r="B6" s="2">
        <v>2</v>
      </c>
      <c r="C6" s="2"/>
      <c r="D6" s="2"/>
    </row>
    <row r="7" spans="1:4">
      <c r="A7" s="25" t="s">
        <v>61</v>
      </c>
      <c r="B7" s="2">
        <v>48</v>
      </c>
      <c r="C7" s="2"/>
      <c r="D7" s="2"/>
    </row>
    <row r="8" spans="1:4">
      <c r="A8" s="25" t="s">
        <v>72</v>
      </c>
      <c r="B8" s="2">
        <v>3696.1</v>
      </c>
      <c r="C8" s="2"/>
      <c r="D8" s="46"/>
    </row>
    <row r="9" spans="1:4">
      <c r="A9" s="25" t="s">
        <v>62</v>
      </c>
      <c r="B9" s="2">
        <v>404.5</v>
      </c>
      <c r="C9" s="2"/>
      <c r="D9" s="2"/>
    </row>
    <row r="10" spans="1:4">
      <c r="A10" s="25" t="s">
        <v>73</v>
      </c>
      <c r="B10" s="46">
        <v>1122</v>
      </c>
      <c r="C10" s="2"/>
      <c r="D10" s="2"/>
    </row>
    <row r="11" spans="1:4" ht="36.75">
      <c r="A11" s="91" t="s">
        <v>1</v>
      </c>
      <c r="B11" s="91" t="s">
        <v>2</v>
      </c>
      <c r="C11" s="91" t="s">
        <v>3</v>
      </c>
      <c r="D11" s="91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6" t="s">
        <v>6</v>
      </c>
      <c r="B13" s="160" t="s">
        <v>79</v>
      </c>
      <c r="C13" s="153">
        <f>1.02+1.02</f>
        <v>2.04</v>
      </c>
      <c r="D13" s="163">
        <f>C13*B8*12</f>
        <v>90480.527999999991</v>
      </c>
    </row>
    <row r="14" spans="1:4" ht="75.75" customHeight="1">
      <c r="A14" s="6" t="s">
        <v>89</v>
      </c>
      <c r="B14" s="161"/>
      <c r="C14" s="162"/>
      <c r="D14" s="164"/>
    </row>
    <row r="15" spans="1:4">
      <c r="A15" s="6" t="s">
        <v>9</v>
      </c>
      <c r="B15" s="91"/>
      <c r="C15" s="26"/>
      <c r="D15" s="30"/>
    </row>
    <row r="16" spans="1:4">
      <c r="A16" s="6" t="s">
        <v>253</v>
      </c>
      <c r="B16" s="91" t="s">
        <v>24</v>
      </c>
      <c r="C16" s="26">
        <v>0.19</v>
      </c>
      <c r="D16" s="30">
        <f>C16*12*B8</f>
        <v>8427.1080000000002</v>
      </c>
    </row>
    <row r="17" spans="1:5">
      <c r="A17" s="6" t="s">
        <v>254</v>
      </c>
      <c r="B17" s="91" t="s">
        <v>200</v>
      </c>
      <c r="C17" s="26">
        <v>0.03</v>
      </c>
      <c r="D17" s="30">
        <f>12*C17*B8</f>
        <v>1330.596</v>
      </c>
      <c r="E17" s="40"/>
    </row>
    <row r="18" spans="1:5">
      <c r="A18" s="6" t="s">
        <v>252</v>
      </c>
      <c r="B18" s="91" t="s">
        <v>24</v>
      </c>
      <c r="C18" s="44">
        <v>0.49</v>
      </c>
      <c r="D18" s="30">
        <f>C18*12*B8</f>
        <v>21733.067999999999</v>
      </c>
    </row>
    <row r="19" spans="1:5">
      <c r="A19" s="165" t="s">
        <v>10</v>
      </c>
      <c r="B19" s="165"/>
      <c r="C19" s="165"/>
      <c r="D19" s="165"/>
    </row>
    <row r="20" spans="1:5" ht="13.5" customHeight="1">
      <c r="A20" s="39" t="s">
        <v>97</v>
      </c>
      <c r="B20" s="88"/>
      <c r="C20" s="88"/>
      <c r="D20" s="88"/>
    </row>
    <row r="21" spans="1:5" ht="13.5" customHeight="1">
      <c r="A21" s="6" t="s">
        <v>11</v>
      </c>
      <c r="B21" s="91" t="s">
        <v>75</v>
      </c>
      <c r="C21" s="152">
        <v>2.16</v>
      </c>
      <c r="D21" s="166">
        <f>C21*12*B8</f>
        <v>95802.912000000011</v>
      </c>
    </row>
    <row r="22" spans="1:5" ht="12.75" customHeight="1">
      <c r="A22" s="6" t="s">
        <v>12</v>
      </c>
      <c r="B22" s="91" t="s">
        <v>75</v>
      </c>
      <c r="C22" s="152"/>
      <c r="D22" s="155"/>
    </row>
    <row r="23" spans="1:5" ht="14.25" customHeight="1">
      <c r="A23" s="6" t="s">
        <v>13</v>
      </c>
      <c r="B23" s="91" t="s">
        <v>75</v>
      </c>
      <c r="C23" s="152"/>
      <c r="D23" s="155"/>
    </row>
    <row r="24" spans="1:5" ht="13.5" customHeight="1">
      <c r="A24" s="6" t="s">
        <v>14</v>
      </c>
      <c r="B24" s="91" t="s">
        <v>76</v>
      </c>
      <c r="C24" s="152"/>
      <c r="D24" s="155"/>
    </row>
    <row r="25" spans="1:5" ht="12.75" customHeight="1">
      <c r="A25" s="39" t="s">
        <v>93</v>
      </c>
      <c r="B25" s="91"/>
      <c r="C25" s="152"/>
      <c r="D25" s="155"/>
    </row>
    <row r="26" spans="1:5" ht="30" customHeight="1">
      <c r="A26" s="6" t="s">
        <v>15</v>
      </c>
      <c r="B26" s="91" t="s">
        <v>94</v>
      </c>
      <c r="C26" s="152"/>
      <c r="D26" s="156"/>
    </row>
    <row r="27" spans="1:5" ht="12.75" customHeight="1">
      <c r="A27" s="157" t="s">
        <v>16</v>
      </c>
      <c r="B27" s="158"/>
      <c r="C27" s="158"/>
      <c r="D27" s="159"/>
    </row>
    <row r="28" spans="1:5" ht="12" customHeight="1">
      <c r="A28" s="7" t="s">
        <v>17</v>
      </c>
      <c r="B28" s="21" t="s">
        <v>78</v>
      </c>
      <c r="C28" s="152">
        <v>0.2</v>
      </c>
      <c r="D28" s="163">
        <f>C28*B8*12</f>
        <v>8870.64</v>
      </c>
    </row>
    <row r="29" spans="1:5" ht="12" customHeight="1">
      <c r="A29" s="7" t="s">
        <v>18</v>
      </c>
      <c r="B29" s="21" t="s">
        <v>77</v>
      </c>
      <c r="C29" s="152"/>
      <c r="D29" s="164"/>
    </row>
    <row r="30" spans="1:5" ht="13.5" customHeight="1">
      <c r="A30" s="157" t="s">
        <v>19</v>
      </c>
      <c r="B30" s="158"/>
      <c r="C30" s="158"/>
      <c r="D30" s="159"/>
    </row>
    <row r="31" spans="1:5">
      <c r="A31" s="167" t="s">
        <v>20</v>
      </c>
      <c r="B31" s="167"/>
      <c r="C31" s="167"/>
      <c r="D31" s="167"/>
    </row>
    <row r="32" spans="1:5" ht="37.5" customHeight="1">
      <c r="A32" s="8" t="s">
        <v>21</v>
      </c>
      <c r="B32" s="22" t="s">
        <v>79</v>
      </c>
      <c r="C32" s="152">
        <v>0.79</v>
      </c>
      <c r="D32" s="154">
        <f>C32*B8*12</f>
        <v>35039.027999999998</v>
      </c>
    </row>
    <row r="33" spans="1:4" ht="15" customHeight="1">
      <c r="A33" s="9" t="s">
        <v>23</v>
      </c>
      <c r="B33" s="23" t="s">
        <v>108</v>
      </c>
      <c r="C33" s="152"/>
      <c r="D33" s="155"/>
    </row>
    <row r="34" spans="1:4" ht="13.5" customHeight="1">
      <c r="A34" s="9" t="s">
        <v>25</v>
      </c>
      <c r="B34" s="23" t="s">
        <v>108</v>
      </c>
      <c r="C34" s="152"/>
      <c r="D34" s="155"/>
    </row>
    <row r="35" spans="1:4" ht="36" customHeight="1">
      <c r="A35" s="9" t="s">
        <v>26</v>
      </c>
      <c r="B35" s="22" t="s">
        <v>22</v>
      </c>
      <c r="C35" s="152"/>
      <c r="D35" s="155"/>
    </row>
    <row r="36" spans="1:4" ht="14.25" customHeight="1">
      <c r="A36" s="9" t="s">
        <v>27</v>
      </c>
      <c r="B36" s="22" t="s">
        <v>24</v>
      </c>
      <c r="C36" s="152"/>
      <c r="D36" s="155"/>
    </row>
    <row r="37" spans="1:4" ht="33.75" customHeight="1">
      <c r="A37" s="24" t="s">
        <v>28</v>
      </c>
      <c r="B37" s="22" t="s">
        <v>22</v>
      </c>
      <c r="C37" s="153"/>
      <c r="D37" s="156"/>
    </row>
    <row r="38" spans="1:4" ht="15.75" customHeight="1">
      <c r="A38" s="167" t="s">
        <v>65</v>
      </c>
      <c r="B38" s="167"/>
      <c r="C38" s="167"/>
      <c r="D38" s="167"/>
    </row>
    <row r="39" spans="1:4" ht="36.75" customHeight="1">
      <c r="A39" s="9" t="s">
        <v>66</v>
      </c>
      <c r="B39" s="22" t="s">
        <v>79</v>
      </c>
      <c r="C39" s="154">
        <v>1.29</v>
      </c>
      <c r="D39" s="152">
        <f>C39*B8*12</f>
        <v>57215.627999999997</v>
      </c>
    </row>
    <row r="40" spans="1:4" ht="14.25" customHeight="1">
      <c r="A40" s="9" t="s">
        <v>67</v>
      </c>
      <c r="B40" s="22" t="s">
        <v>108</v>
      </c>
      <c r="C40" s="154"/>
      <c r="D40" s="168"/>
    </row>
    <row r="41" spans="1:4" ht="14.25" customHeight="1">
      <c r="A41" s="9" t="s">
        <v>68</v>
      </c>
      <c r="B41" s="22" t="s">
        <v>108</v>
      </c>
      <c r="C41" s="154"/>
      <c r="D41" s="168"/>
    </row>
    <row r="42" spans="1:4" ht="24" customHeight="1">
      <c r="A42" s="9" t="s">
        <v>69</v>
      </c>
      <c r="B42" s="22" t="s">
        <v>79</v>
      </c>
      <c r="C42" s="154"/>
      <c r="D42" s="168"/>
    </row>
    <row r="43" spans="1:4" ht="25.5" customHeight="1">
      <c r="A43" s="10" t="s">
        <v>70</v>
      </c>
      <c r="B43" s="22" t="s">
        <v>79</v>
      </c>
      <c r="C43" s="154"/>
      <c r="D43" s="168"/>
    </row>
    <row r="44" spans="1:4" ht="14.25" customHeight="1">
      <c r="A44" s="9" t="s">
        <v>71</v>
      </c>
      <c r="B44" s="22" t="s">
        <v>84</v>
      </c>
      <c r="C44" s="154"/>
      <c r="D44" s="162"/>
    </row>
    <row r="45" spans="1:4" ht="11.25" customHeight="1">
      <c r="A45" s="169" t="s">
        <v>29</v>
      </c>
      <c r="B45" s="169"/>
      <c r="C45" s="169"/>
      <c r="D45" s="169"/>
    </row>
    <row r="46" spans="1:4" ht="35.25" customHeight="1">
      <c r="A46" s="9" t="s">
        <v>30</v>
      </c>
      <c r="B46" s="22" t="s">
        <v>22</v>
      </c>
      <c r="C46" s="154">
        <v>0.91</v>
      </c>
      <c r="D46" s="152">
        <f>C46*12*B8</f>
        <v>40361.411999999997</v>
      </c>
    </row>
    <row r="47" spans="1:4" ht="38.25" customHeight="1">
      <c r="A47" s="9" t="s">
        <v>31</v>
      </c>
      <c r="B47" s="22" t="s">
        <v>22</v>
      </c>
      <c r="C47" s="154"/>
      <c r="D47" s="152"/>
    </row>
    <row r="48" spans="1:4" ht="15" customHeight="1">
      <c r="A48" s="10" t="s">
        <v>32</v>
      </c>
      <c r="B48" s="22" t="s">
        <v>22</v>
      </c>
      <c r="C48" s="154"/>
      <c r="D48" s="152"/>
    </row>
    <row r="49" spans="1:4" ht="12.75" customHeight="1">
      <c r="A49" s="167" t="s">
        <v>33</v>
      </c>
      <c r="B49" s="167"/>
      <c r="C49" s="167"/>
      <c r="D49" s="167"/>
    </row>
    <row r="50" spans="1:4" ht="29.25" customHeight="1">
      <c r="A50" s="9" t="s">
        <v>34</v>
      </c>
      <c r="B50" s="22" t="s">
        <v>77</v>
      </c>
      <c r="C50" s="154">
        <v>2.2400000000000002</v>
      </c>
      <c r="D50" s="154">
        <f>C50*12*B8</f>
        <v>99351.168000000005</v>
      </c>
    </row>
    <row r="51" spans="1:4" ht="14.25" customHeight="1">
      <c r="A51" s="9" t="s">
        <v>35</v>
      </c>
      <c r="B51" s="22" t="s">
        <v>81</v>
      </c>
      <c r="C51" s="154"/>
      <c r="D51" s="154"/>
    </row>
    <row r="52" spans="1:4" ht="17.25" customHeight="1">
      <c r="A52" s="9" t="s">
        <v>36</v>
      </c>
      <c r="B52" s="22" t="s">
        <v>81</v>
      </c>
      <c r="C52" s="154"/>
      <c r="D52" s="154"/>
    </row>
    <row r="53" spans="1:4" ht="24.75" customHeight="1">
      <c r="A53" s="9" t="s">
        <v>37</v>
      </c>
      <c r="B53" s="22" t="s">
        <v>82</v>
      </c>
      <c r="C53" s="154"/>
      <c r="D53" s="154"/>
    </row>
    <row r="54" spans="1:4" ht="30" customHeight="1">
      <c r="A54" s="9" t="s">
        <v>38</v>
      </c>
      <c r="B54" s="22" t="s">
        <v>82</v>
      </c>
      <c r="C54" s="154"/>
      <c r="D54" s="154"/>
    </row>
    <row r="55" spans="1:4" ht="12.75" customHeight="1">
      <c r="A55" s="88" t="s">
        <v>95</v>
      </c>
      <c r="B55" s="6"/>
      <c r="C55" s="154"/>
      <c r="D55" s="154"/>
    </row>
    <row r="56" spans="1:4" ht="35.25" customHeight="1">
      <c r="A56" s="9" t="s">
        <v>40</v>
      </c>
      <c r="B56" s="22" t="s">
        <v>79</v>
      </c>
      <c r="C56" s="154"/>
      <c r="D56" s="154"/>
    </row>
    <row r="57" spans="1:4" ht="14.25" customHeight="1">
      <c r="A57" s="9" t="s">
        <v>41</v>
      </c>
      <c r="B57" s="22" t="s">
        <v>105</v>
      </c>
      <c r="C57" s="154"/>
      <c r="D57" s="154"/>
    </row>
    <row r="58" spans="1:4" ht="14.25" customHeight="1">
      <c r="A58" s="9" t="s">
        <v>42</v>
      </c>
      <c r="B58" s="23" t="s">
        <v>105</v>
      </c>
      <c r="C58" s="154"/>
      <c r="D58" s="154"/>
    </row>
    <row r="59" spans="1:4" ht="13.5" customHeight="1">
      <c r="A59" s="9" t="s">
        <v>43</v>
      </c>
      <c r="B59" s="23" t="s">
        <v>105</v>
      </c>
      <c r="C59" s="154"/>
      <c r="D59" s="154"/>
    </row>
    <row r="60" spans="1:4" ht="13.5" customHeight="1">
      <c r="A60" s="9" t="s">
        <v>44</v>
      </c>
      <c r="B60" s="21" t="s">
        <v>199</v>
      </c>
      <c r="C60" s="154"/>
      <c r="D60" s="154"/>
    </row>
    <row r="61" spans="1:4" ht="36.75" customHeight="1">
      <c r="A61" s="10" t="s">
        <v>45</v>
      </c>
      <c r="B61" s="22" t="s">
        <v>22</v>
      </c>
      <c r="C61" s="154"/>
      <c r="D61" s="154"/>
    </row>
    <row r="62" spans="1:4" ht="22.5" customHeight="1">
      <c r="A62" s="10"/>
      <c r="B62" s="22"/>
      <c r="C62" s="86"/>
      <c r="D62" s="86"/>
    </row>
    <row r="63" spans="1:4">
      <c r="A63" s="167" t="s">
        <v>46</v>
      </c>
      <c r="B63" s="167"/>
      <c r="C63" s="167"/>
      <c r="D63" s="167"/>
    </row>
    <row r="64" spans="1:4" ht="15.75" customHeight="1">
      <c r="A64" s="9" t="s">
        <v>47</v>
      </c>
      <c r="B64" s="22" t="s">
        <v>83</v>
      </c>
      <c r="C64" s="153">
        <v>2.38</v>
      </c>
      <c r="D64" s="166">
        <f>C64*B8*12+81.43</f>
        <v>105642.04599999997</v>
      </c>
    </row>
    <row r="65" spans="1:4" ht="12.75" customHeight="1">
      <c r="A65" s="9" t="s">
        <v>48</v>
      </c>
      <c r="B65" s="22" t="s">
        <v>83</v>
      </c>
      <c r="C65" s="168"/>
      <c r="D65" s="155"/>
    </row>
    <row r="66" spans="1:4" ht="25.5" customHeight="1">
      <c r="A66" s="9" t="s">
        <v>49</v>
      </c>
      <c r="B66" s="22" t="s">
        <v>83</v>
      </c>
      <c r="C66" s="168"/>
      <c r="D66" s="155"/>
    </row>
    <row r="67" spans="1:4" ht="16.5" customHeight="1">
      <c r="A67" s="9" t="s">
        <v>50</v>
      </c>
      <c r="B67" s="22" t="s">
        <v>83</v>
      </c>
      <c r="C67" s="168"/>
      <c r="D67" s="155"/>
    </row>
    <row r="68" spans="1:4" ht="39.75" customHeight="1">
      <c r="A68" s="10" t="s">
        <v>51</v>
      </c>
      <c r="B68" s="22" t="s">
        <v>22</v>
      </c>
      <c r="C68" s="168"/>
      <c r="D68" s="155"/>
    </row>
    <row r="69" spans="1:4" ht="16.5" customHeight="1">
      <c r="A69" s="10" t="s">
        <v>52</v>
      </c>
      <c r="B69" s="23" t="s">
        <v>84</v>
      </c>
      <c r="C69" s="162"/>
      <c r="D69" s="156"/>
    </row>
    <row r="70" spans="1:4">
      <c r="A70" s="157" t="s">
        <v>85</v>
      </c>
      <c r="B70" s="158"/>
      <c r="C70" s="158"/>
      <c r="D70" s="159"/>
    </row>
    <row r="71" spans="1:4" ht="26.25" customHeight="1">
      <c r="A71" s="184" t="s">
        <v>96</v>
      </c>
      <c r="B71" s="177" t="s">
        <v>86</v>
      </c>
      <c r="C71" s="152">
        <v>2.41</v>
      </c>
      <c r="D71" s="154">
        <f>C71*12*B8</f>
        <v>106891.212</v>
      </c>
    </row>
    <row r="72" spans="1:4" ht="13.5" customHeight="1">
      <c r="A72" s="185"/>
      <c r="B72" s="177"/>
      <c r="C72" s="152"/>
      <c r="D72" s="154"/>
    </row>
    <row r="73" spans="1:4" ht="15" customHeight="1">
      <c r="A73" s="157" t="s">
        <v>55</v>
      </c>
      <c r="B73" s="158"/>
      <c r="C73" s="158"/>
      <c r="D73" s="159"/>
    </row>
    <row r="74" spans="1:4" ht="16.5" customHeight="1">
      <c r="A74" s="6" t="s">
        <v>90</v>
      </c>
      <c r="B74" s="21" t="s">
        <v>87</v>
      </c>
      <c r="C74" s="170">
        <v>2.14</v>
      </c>
      <c r="D74" s="172">
        <f>7904.71+87019.61</f>
        <v>94924.32</v>
      </c>
    </row>
    <row r="75" spans="1:4">
      <c r="A75" s="6" t="s">
        <v>91</v>
      </c>
      <c r="B75" s="21" t="s">
        <v>87</v>
      </c>
      <c r="C75" s="171"/>
      <c r="D75" s="173"/>
    </row>
    <row r="76" spans="1:4" ht="15" customHeight="1">
      <c r="A76" s="6" t="s">
        <v>92</v>
      </c>
      <c r="B76" s="21" t="s">
        <v>87</v>
      </c>
      <c r="C76" s="169"/>
      <c r="D76" s="174"/>
    </row>
    <row r="77" spans="1:4" ht="38.25" customHeight="1">
      <c r="A77" s="6" t="s">
        <v>143</v>
      </c>
      <c r="B77" s="22" t="s">
        <v>22</v>
      </c>
      <c r="C77" s="89">
        <v>4.3499999999999996</v>
      </c>
      <c r="D77" s="89">
        <f>C77*12*B8</f>
        <v>192936.41999999998</v>
      </c>
    </row>
    <row r="78" spans="1:4">
      <c r="A78" s="88" t="s">
        <v>56</v>
      </c>
      <c r="B78" s="23"/>
      <c r="C78" s="28">
        <f>C77+C74+C71+C64+C50+C46+C39+C32+C28+C21+C18+C17+C16+C13</f>
        <v>21.62</v>
      </c>
      <c r="D78" s="150">
        <f>D77+D74+D71+D64+D50+D46+D39+D32+D28+D21+D18+D17+D16+D14+D13</f>
        <v>959006.08600000013</v>
      </c>
    </row>
    <row r="80" spans="1:4">
      <c r="D80" s="40"/>
    </row>
    <row r="81" spans="4:4">
      <c r="D81" s="40"/>
    </row>
    <row r="82" spans="4:4">
      <c r="D82" s="40"/>
    </row>
    <row r="83" spans="4:4">
      <c r="D83" s="40"/>
    </row>
  </sheetData>
  <mergeCells count="34">
    <mergeCell ref="C50:C61"/>
    <mergeCell ref="D50:D61"/>
    <mergeCell ref="A73:D73"/>
    <mergeCell ref="C74:C76"/>
    <mergeCell ref="D74:D76"/>
    <mergeCell ref="A63:D63"/>
    <mergeCell ref="A70:D70"/>
    <mergeCell ref="A71:A72"/>
    <mergeCell ref="B71:B72"/>
    <mergeCell ref="C71:C72"/>
    <mergeCell ref="D71:D72"/>
    <mergeCell ref="C64:C69"/>
    <mergeCell ref="D64:D69"/>
    <mergeCell ref="A45:D45"/>
    <mergeCell ref="C46:C48"/>
    <mergeCell ref="D46:D48"/>
    <mergeCell ref="A49:D49"/>
    <mergeCell ref="D13:D14"/>
    <mergeCell ref="C39:C44"/>
    <mergeCell ref="D39:D44"/>
    <mergeCell ref="C28:C29"/>
    <mergeCell ref="D28:D29"/>
    <mergeCell ref="A30:D30"/>
    <mergeCell ref="A31:D31"/>
    <mergeCell ref="C32:C37"/>
    <mergeCell ref="D32:D37"/>
    <mergeCell ref="A38:D38"/>
    <mergeCell ref="A12:D12"/>
    <mergeCell ref="A19:D19"/>
    <mergeCell ref="C21:C26"/>
    <mergeCell ref="D21:D26"/>
    <mergeCell ref="A27:D27"/>
    <mergeCell ref="B13:B14"/>
    <mergeCell ref="C13:C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86"/>
  <sheetViews>
    <sheetView topLeftCell="A19" workbookViewId="0">
      <selection activeCell="A83" sqref="A83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198</v>
      </c>
      <c r="B2" s="2"/>
      <c r="C2" s="2"/>
      <c r="D2" s="2"/>
    </row>
    <row r="3" spans="1:4">
      <c r="A3" s="1" t="s">
        <v>271</v>
      </c>
      <c r="B3" s="2"/>
      <c r="C3" s="2"/>
      <c r="D3" s="2"/>
    </row>
    <row r="4" spans="1:4">
      <c r="A4" s="25" t="s">
        <v>58</v>
      </c>
      <c r="B4" s="2">
        <v>1983</v>
      </c>
      <c r="C4" s="2"/>
      <c r="D4" s="2"/>
    </row>
    <row r="5" spans="1:4">
      <c r="A5" s="25" t="s">
        <v>59</v>
      </c>
      <c r="B5" s="2">
        <v>3</v>
      </c>
      <c r="C5" s="2"/>
      <c r="D5" s="2"/>
    </row>
    <row r="6" spans="1:4">
      <c r="A6" s="25" t="s">
        <v>60</v>
      </c>
      <c r="B6" s="2">
        <v>3</v>
      </c>
      <c r="C6" s="2"/>
      <c r="D6" s="2"/>
    </row>
    <row r="7" spans="1:4">
      <c r="A7" s="25" t="s">
        <v>61</v>
      </c>
      <c r="B7" s="2">
        <v>27</v>
      </c>
      <c r="C7" s="2"/>
      <c r="D7" s="2"/>
    </row>
    <row r="8" spans="1:4">
      <c r="A8" s="25" t="s">
        <v>72</v>
      </c>
      <c r="B8" s="2">
        <v>1255.7</v>
      </c>
      <c r="C8" s="2"/>
      <c r="D8" s="46"/>
    </row>
    <row r="9" spans="1:4">
      <c r="A9" s="25" t="s">
        <v>62</v>
      </c>
      <c r="B9" s="2">
        <v>128</v>
      </c>
      <c r="C9" s="2"/>
      <c r="D9" s="2"/>
    </row>
    <row r="10" spans="1:4">
      <c r="A10" s="25" t="s">
        <v>73</v>
      </c>
      <c r="B10" s="46">
        <v>554.20000000000005</v>
      </c>
      <c r="C10" s="2"/>
      <c r="D10" s="2"/>
    </row>
    <row r="11" spans="1:4" ht="36.75">
      <c r="A11" s="91" t="s">
        <v>1</v>
      </c>
      <c r="B11" s="91" t="s">
        <v>2</v>
      </c>
      <c r="C11" s="91" t="s">
        <v>3</v>
      </c>
      <c r="D11" s="91" t="s">
        <v>4</v>
      </c>
    </row>
    <row r="12" spans="1:4">
      <c r="A12" s="178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1.02</v>
      </c>
      <c r="D13" s="163">
        <f>C13*12*B8</f>
        <v>15369.768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103" t="s">
        <v>9</v>
      </c>
      <c r="B15" s="91"/>
      <c r="C15" s="26"/>
      <c r="D15" s="30"/>
    </row>
    <row r="16" spans="1:4">
      <c r="A16" s="6" t="s">
        <v>272</v>
      </c>
      <c r="B16" s="113" t="s">
        <v>24</v>
      </c>
      <c r="C16" s="26">
        <v>1.02</v>
      </c>
      <c r="D16" s="30">
        <f>C16*12*B8</f>
        <v>15369.768</v>
      </c>
    </row>
    <row r="17" spans="1:4">
      <c r="A17" s="6" t="s">
        <v>274</v>
      </c>
      <c r="B17" s="113" t="s">
        <v>80</v>
      </c>
      <c r="C17" s="26">
        <v>0.51</v>
      </c>
      <c r="D17" s="30">
        <f>C17*12*B8</f>
        <v>7684.884</v>
      </c>
    </row>
    <row r="18" spans="1:4">
      <c r="A18" s="6" t="s">
        <v>275</v>
      </c>
      <c r="B18" s="113" t="s">
        <v>88</v>
      </c>
      <c r="C18" s="26">
        <v>1.03</v>
      </c>
      <c r="D18" s="30">
        <f>C18*12*B8</f>
        <v>15520.451999999999</v>
      </c>
    </row>
    <row r="19" spans="1:4">
      <c r="A19" s="6" t="s">
        <v>277</v>
      </c>
      <c r="B19" s="113" t="s">
        <v>80</v>
      </c>
      <c r="C19" s="26">
        <v>0.09</v>
      </c>
      <c r="D19" s="30">
        <f>C19*12*B8</f>
        <v>1356.1560000000002</v>
      </c>
    </row>
    <row r="20" spans="1:4">
      <c r="A20" s="6" t="s">
        <v>276</v>
      </c>
      <c r="B20" s="113" t="s">
        <v>88</v>
      </c>
      <c r="C20" s="26">
        <v>0.51</v>
      </c>
      <c r="D20" s="30">
        <f>C20*12*B8</f>
        <v>7684.884</v>
      </c>
    </row>
    <row r="21" spans="1:4">
      <c r="A21" s="6" t="s">
        <v>273</v>
      </c>
      <c r="B21" s="91" t="s">
        <v>88</v>
      </c>
      <c r="C21" s="44">
        <f>D21/12/B8</f>
        <v>0.23891056781078282</v>
      </c>
      <c r="D21" s="30">
        <v>3600</v>
      </c>
    </row>
    <row r="22" spans="1:4">
      <c r="A22" s="165" t="s">
        <v>10</v>
      </c>
      <c r="B22" s="165"/>
      <c r="C22" s="165"/>
      <c r="D22" s="165"/>
    </row>
    <row r="23" spans="1:4" ht="13.5" customHeight="1">
      <c r="A23" s="39" t="s">
        <v>97</v>
      </c>
      <c r="B23" s="88"/>
      <c r="C23" s="119"/>
      <c r="D23" s="88"/>
    </row>
    <row r="24" spans="1:4" ht="13.5" customHeight="1">
      <c r="A24" s="6" t="s">
        <v>11</v>
      </c>
      <c r="B24" s="91" t="s">
        <v>75</v>
      </c>
      <c r="C24" s="152">
        <v>2.16</v>
      </c>
      <c r="D24" s="166">
        <f>C24*B8*12</f>
        <v>32547.744000000006</v>
      </c>
    </row>
    <row r="25" spans="1:4" ht="12.75" customHeight="1">
      <c r="A25" s="6" t="s">
        <v>12</v>
      </c>
      <c r="B25" s="91" t="s">
        <v>75</v>
      </c>
      <c r="C25" s="152"/>
      <c r="D25" s="155"/>
    </row>
    <row r="26" spans="1:4" ht="14.25" customHeight="1">
      <c r="A26" s="6" t="s">
        <v>13</v>
      </c>
      <c r="B26" s="91" t="s">
        <v>75</v>
      </c>
      <c r="C26" s="152"/>
      <c r="D26" s="155"/>
    </row>
    <row r="27" spans="1:4" ht="13.5" customHeight="1">
      <c r="A27" s="6" t="s">
        <v>14</v>
      </c>
      <c r="B27" s="91" t="s">
        <v>76</v>
      </c>
      <c r="C27" s="152"/>
      <c r="D27" s="155"/>
    </row>
    <row r="28" spans="1:4" ht="12.75" customHeight="1">
      <c r="A28" s="39" t="s">
        <v>93</v>
      </c>
      <c r="B28" s="91"/>
      <c r="C28" s="152"/>
      <c r="D28" s="155"/>
    </row>
    <row r="29" spans="1:4" ht="30" customHeight="1">
      <c r="A29" s="6" t="s">
        <v>15</v>
      </c>
      <c r="B29" s="91" t="s">
        <v>94</v>
      </c>
      <c r="C29" s="152"/>
      <c r="D29" s="156"/>
    </row>
    <row r="30" spans="1:4" ht="12.75" customHeight="1">
      <c r="A30" s="157" t="s">
        <v>16</v>
      </c>
      <c r="B30" s="158"/>
      <c r="C30" s="158"/>
      <c r="D30" s="159"/>
    </row>
    <row r="31" spans="1:4" ht="12" customHeight="1">
      <c r="A31" s="7" t="s">
        <v>17</v>
      </c>
      <c r="B31" s="21" t="s">
        <v>78</v>
      </c>
      <c r="C31" s="152">
        <v>0.2</v>
      </c>
      <c r="D31" s="167">
        <f>C31*B8*12</f>
        <v>3013.6800000000003</v>
      </c>
    </row>
    <row r="32" spans="1:4" ht="12" customHeight="1">
      <c r="A32" s="7" t="s">
        <v>18</v>
      </c>
      <c r="B32" s="21" t="s">
        <v>77</v>
      </c>
      <c r="C32" s="152"/>
      <c r="D32" s="167"/>
    </row>
    <row r="33" spans="1:4" ht="13.5" customHeight="1">
      <c r="A33" s="157" t="s">
        <v>19</v>
      </c>
      <c r="B33" s="158"/>
      <c r="C33" s="158"/>
      <c r="D33" s="159"/>
    </row>
    <row r="34" spans="1:4">
      <c r="A34" s="167" t="s">
        <v>20</v>
      </c>
      <c r="B34" s="167"/>
      <c r="C34" s="167"/>
      <c r="D34" s="167"/>
    </row>
    <row r="35" spans="1:4" ht="37.5" customHeight="1">
      <c r="A35" s="8" t="s">
        <v>21</v>
      </c>
      <c r="B35" s="22" t="s">
        <v>79</v>
      </c>
      <c r="C35" s="152">
        <v>1.32</v>
      </c>
      <c r="D35" s="154">
        <f>C35*B8*12</f>
        <v>19890.288</v>
      </c>
    </row>
    <row r="36" spans="1:4" ht="15" customHeight="1">
      <c r="A36" s="9" t="s">
        <v>23</v>
      </c>
      <c r="B36" s="23" t="s">
        <v>108</v>
      </c>
      <c r="C36" s="152"/>
      <c r="D36" s="155"/>
    </row>
    <row r="37" spans="1:4" ht="13.5" customHeight="1">
      <c r="A37" s="9" t="s">
        <v>25</v>
      </c>
      <c r="B37" s="23" t="s">
        <v>108</v>
      </c>
      <c r="C37" s="152"/>
      <c r="D37" s="155"/>
    </row>
    <row r="38" spans="1:4" ht="36" customHeight="1">
      <c r="A38" s="9" t="s">
        <v>26</v>
      </c>
      <c r="B38" s="22" t="s">
        <v>22</v>
      </c>
      <c r="C38" s="152"/>
      <c r="D38" s="155"/>
    </row>
    <row r="39" spans="1:4" ht="14.25" customHeight="1">
      <c r="A39" s="9" t="s">
        <v>27</v>
      </c>
      <c r="B39" s="22" t="s">
        <v>24</v>
      </c>
      <c r="C39" s="152"/>
      <c r="D39" s="155"/>
    </row>
    <row r="40" spans="1:4" ht="33.75" customHeight="1">
      <c r="A40" s="24" t="s">
        <v>28</v>
      </c>
      <c r="B40" s="22" t="s">
        <v>22</v>
      </c>
      <c r="C40" s="153"/>
      <c r="D40" s="156"/>
    </row>
    <row r="41" spans="1:4" ht="15.75" customHeight="1">
      <c r="A41" s="167" t="s">
        <v>65</v>
      </c>
      <c r="B41" s="167"/>
      <c r="C41" s="167"/>
      <c r="D41" s="167"/>
    </row>
    <row r="42" spans="1:4" ht="36.75" customHeight="1">
      <c r="A42" s="9" t="s">
        <v>66</v>
      </c>
      <c r="B42" s="22" t="s">
        <v>79</v>
      </c>
      <c r="C42" s="154">
        <v>1.1200000000000001</v>
      </c>
      <c r="D42" s="152">
        <f>C42*B8*12</f>
        <v>16876.608000000004</v>
      </c>
    </row>
    <row r="43" spans="1:4" ht="14.25" customHeight="1">
      <c r="A43" s="9" t="s">
        <v>67</v>
      </c>
      <c r="B43" s="22" t="s">
        <v>108</v>
      </c>
      <c r="C43" s="154"/>
      <c r="D43" s="168"/>
    </row>
    <row r="44" spans="1:4" ht="14.25" customHeight="1">
      <c r="A44" s="9" t="s">
        <v>68</v>
      </c>
      <c r="B44" s="22" t="s">
        <v>108</v>
      </c>
      <c r="C44" s="154"/>
      <c r="D44" s="168"/>
    </row>
    <row r="45" spans="1:4" ht="24" customHeight="1">
      <c r="A45" s="9" t="s">
        <v>69</v>
      </c>
      <c r="B45" s="22" t="s">
        <v>79</v>
      </c>
      <c r="C45" s="154"/>
      <c r="D45" s="168"/>
    </row>
    <row r="46" spans="1:4" ht="25.5" customHeight="1">
      <c r="A46" s="10" t="s">
        <v>70</v>
      </c>
      <c r="B46" s="22" t="s">
        <v>79</v>
      </c>
      <c r="C46" s="154"/>
      <c r="D46" s="168"/>
    </row>
    <row r="47" spans="1:4" ht="14.25" customHeight="1">
      <c r="A47" s="9" t="s">
        <v>71</v>
      </c>
      <c r="B47" s="22" t="s">
        <v>84</v>
      </c>
      <c r="C47" s="154"/>
      <c r="D47" s="162"/>
    </row>
    <row r="48" spans="1:4" ht="11.25" customHeight="1">
      <c r="A48" s="169" t="s">
        <v>29</v>
      </c>
      <c r="B48" s="169"/>
      <c r="C48" s="169"/>
      <c r="D48" s="169"/>
    </row>
    <row r="49" spans="1:4" ht="35.25" customHeight="1">
      <c r="A49" s="9" t="s">
        <v>30</v>
      </c>
      <c r="B49" s="22" t="s">
        <v>22</v>
      </c>
      <c r="C49" s="154">
        <v>0.76</v>
      </c>
      <c r="D49" s="152">
        <f>C49*12*B8</f>
        <v>11451.984000000002</v>
      </c>
    </row>
    <row r="50" spans="1:4" ht="38.25" customHeight="1">
      <c r="A50" s="9" t="s">
        <v>31</v>
      </c>
      <c r="B50" s="22" t="s">
        <v>22</v>
      </c>
      <c r="C50" s="154"/>
      <c r="D50" s="152"/>
    </row>
    <row r="51" spans="1:4" ht="15" customHeight="1">
      <c r="A51" s="10" t="s">
        <v>32</v>
      </c>
      <c r="B51" s="22" t="s">
        <v>22</v>
      </c>
      <c r="C51" s="154"/>
      <c r="D51" s="152"/>
    </row>
    <row r="52" spans="1:4" ht="12.75" customHeight="1">
      <c r="A52" s="167" t="s">
        <v>33</v>
      </c>
      <c r="B52" s="167"/>
      <c r="C52" s="167"/>
      <c r="D52" s="167"/>
    </row>
    <row r="53" spans="1:4" ht="29.25" customHeight="1">
      <c r="A53" s="9" t="s">
        <v>34</v>
      </c>
      <c r="B53" s="22" t="s">
        <v>77</v>
      </c>
      <c r="C53" s="154">
        <v>1.47</v>
      </c>
      <c r="D53" s="154">
        <f>C53*12*B8</f>
        <v>22150.548000000003</v>
      </c>
    </row>
    <row r="54" spans="1:4" ht="14.25" customHeight="1">
      <c r="A54" s="9" t="s">
        <v>35</v>
      </c>
      <c r="B54" s="22" t="s">
        <v>81</v>
      </c>
      <c r="C54" s="154"/>
      <c r="D54" s="154"/>
    </row>
    <row r="55" spans="1:4" ht="17.25" customHeight="1">
      <c r="A55" s="9" t="s">
        <v>36</v>
      </c>
      <c r="B55" s="22" t="s">
        <v>81</v>
      </c>
      <c r="C55" s="154"/>
      <c r="D55" s="154"/>
    </row>
    <row r="56" spans="1:4" ht="24.75" customHeight="1">
      <c r="A56" s="9" t="s">
        <v>37</v>
      </c>
      <c r="B56" s="22" t="s">
        <v>82</v>
      </c>
      <c r="C56" s="154"/>
      <c r="D56" s="154"/>
    </row>
    <row r="57" spans="1:4" ht="30" customHeight="1">
      <c r="A57" s="9" t="s">
        <v>38</v>
      </c>
      <c r="B57" s="22" t="s">
        <v>82</v>
      </c>
      <c r="C57" s="154"/>
      <c r="D57" s="154"/>
    </row>
    <row r="58" spans="1:4" ht="12.75" customHeight="1">
      <c r="A58" s="88" t="s">
        <v>95</v>
      </c>
      <c r="B58" s="6"/>
      <c r="C58" s="154"/>
      <c r="D58" s="154"/>
    </row>
    <row r="59" spans="1:4" ht="35.25" customHeight="1">
      <c r="A59" s="9" t="s">
        <v>40</v>
      </c>
      <c r="B59" s="22" t="s">
        <v>79</v>
      </c>
      <c r="C59" s="154"/>
      <c r="D59" s="154"/>
    </row>
    <row r="60" spans="1:4" ht="14.25" customHeight="1">
      <c r="A60" s="9" t="s">
        <v>41</v>
      </c>
      <c r="B60" s="22" t="s">
        <v>105</v>
      </c>
      <c r="C60" s="154"/>
      <c r="D60" s="154"/>
    </row>
    <row r="61" spans="1:4" ht="14.25" customHeight="1">
      <c r="A61" s="9" t="s">
        <v>42</v>
      </c>
      <c r="B61" s="23" t="s">
        <v>105</v>
      </c>
      <c r="C61" s="154"/>
      <c r="D61" s="154"/>
    </row>
    <row r="62" spans="1:4" ht="13.5" customHeight="1">
      <c r="A62" s="9" t="s">
        <v>43</v>
      </c>
      <c r="B62" s="23" t="s">
        <v>105</v>
      </c>
      <c r="C62" s="154"/>
      <c r="D62" s="154"/>
    </row>
    <row r="63" spans="1:4" ht="13.5" customHeight="1">
      <c r="A63" s="9" t="s">
        <v>44</v>
      </c>
      <c r="B63" s="21" t="s">
        <v>199</v>
      </c>
      <c r="C63" s="154"/>
      <c r="D63" s="154"/>
    </row>
    <row r="64" spans="1:4" ht="36.75" customHeight="1">
      <c r="A64" s="10" t="s">
        <v>45</v>
      </c>
      <c r="B64" s="22" t="s">
        <v>22</v>
      </c>
      <c r="C64" s="154"/>
      <c r="D64" s="154"/>
    </row>
    <row r="65" spans="1:4" ht="22.5" customHeight="1">
      <c r="A65" s="10"/>
      <c r="B65" s="22"/>
      <c r="C65" s="86"/>
      <c r="D65" s="86"/>
    </row>
    <row r="66" spans="1:4">
      <c r="A66" s="167" t="s">
        <v>46</v>
      </c>
      <c r="B66" s="167"/>
      <c r="C66" s="167"/>
      <c r="D66" s="167"/>
    </row>
    <row r="67" spans="1:4" ht="15.75" customHeight="1">
      <c r="A67" s="9" t="s">
        <v>47</v>
      </c>
      <c r="B67" s="22" t="s">
        <v>83</v>
      </c>
      <c r="C67" s="153">
        <v>1.27</v>
      </c>
      <c r="D67" s="166">
        <f>C67*B8*12+17.54</f>
        <v>19154.408000000003</v>
      </c>
    </row>
    <row r="68" spans="1:4" ht="12.75" customHeight="1">
      <c r="A68" s="9" t="s">
        <v>48</v>
      </c>
      <c r="B68" s="22" t="s">
        <v>83</v>
      </c>
      <c r="C68" s="168"/>
      <c r="D68" s="155"/>
    </row>
    <row r="69" spans="1:4" ht="22.5" customHeight="1">
      <c r="A69" s="9" t="s">
        <v>49</v>
      </c>
      <c r="B69" s="22" t="s">
        <v>83</v>
      </c>
      <c r="C69" s="168"/>
      <c r="D69" s="155"/>
    </row>
    <row r="70" spans="1:4" ht="16.5" customHeight="1">
      <c r="A70" s="9" t="s">
        <v>50</v>
      </c>
      <c r="B70" s="22" t="s">
        <v>83</v>
      </c>
      <c r="C70" s="168"/>
      <c r="D70" s="155"/>
    </row>
    <row r="71" spans="1:4" ht="39.75" customHeight="1">
      <c r="A71" s="10" t="s">
        <v>51</v>
      </c>
      <c r="B71" s="22" t="s">
        <v>22</v>
      </c>
      <c r="C71" s="168"/>
      <c r="D71" s="155"/>
    </row>
    <row r="72" spans="1:4" ht="16.5" customHeight="1">
      <c r="A72" s="10" t="s">
        <v>52</v>
      </c>
      <c r="B72" s="23" t="s">
        <v>84</v>
      </c>
      <c r="C72" s="162"/>
      <c r="D72" s="156"/>
    </row>
    <row r="73" spans="1:4">
      <c r="A73" s="157" t="s">
        <v>85</v>
      </c>
      <c r="B73" s="158"/>
      <c r="C73" s="158"/>
      <c r="D73" s="159"/>
    </row>
    <row r="74" spans="1:4" ht="26.25" customHeight="1">
      <c r="A74" s="184" t="s">
        <v>96</v>
      </c>
      <c r="B74" s="177" t="s">
        <v>86</v>
      </c>
      <c r="C74" s="152">
        <v>2.41</v>
      </c>
      <c r="D74" s="154">
        <f>C74*B8*12</f>
        <v>36314.843999999997</v>
      </c>
    </row>
    <row r="75" spans="1:4" ht="13.5" customHeight="1">
      <c r="A75" s="185"/>
      <c r="B75" s="177"/>
      <c r="C75" s="152"/>
      <c r="D75" s="154"/>
    </row>
    <row r="76" spans="1:4" ht="15" customHeight="1">
      <c r="A76" s="157" t="s">
        <v>55</v>
      </c>
      <c r="B76" s="158"/>
      <c r="C76" s="158"/>
      <c r="D76" s="159"/>
    </row>
    <row r="77" spans="1:4" ht="16.5" customHeight="1">
      <c r="A77" s="6" t="s">
        <v>90</v>
      </c>
      <c r="B77" s="21" t="s">
        <v>87</v>
      </c>
      <c r="C77" s="170">
        <v>2.14</v>
      </c>
      <c r="D77" s="172">
        <f>2687.21+29559.31</f>
        <v>32246.52</v>
      </c>
    </row>
    <row r="78" spans="1:4">
      <c r="A78" s="6" t="s">
        <v>91</v>
      </c>
      <c r="B78" s="21" t="s">
        <v>87</v>
      </c>
      <c r="C78" s="171"/>
      <c r="D78" s="173"/>
    </row>
    <row r="79" spans="1:4" ht="15" customHeight="1">
      <c r="A79" s="6" t="s">
        <v>92</v>
      </c>
      <c r="B79" s="21" t="s">
        <v>87</v>
      </c>
      <c r="C79" s="169"/>
      <c r="D79" s="174"/>
    </row>
    <row r="80" spans="1:4" ht="38.25" customHeight="1">
      <c r="A80" s="6" t="s">
        <v>143</v>
      </c>
      <c r="B80" s="22" t="s">
        <v>22</v>
      </c>
      <c r="C80" s="89">
        <v>4.3499999999999996</v>
      </c>
      <c r="D80" s="89">
        <f>C80*12*B8</f>
        <v>65547.539999999994</v>
      </c>
    </row>
    <row r="81" spans="1:4">
      <c r="A81" s="88" t="s">
        <v>56</v>
      </c>
      <c r="B81" s="23"/>
      <c r="C81" s="28">
        <f>C80+C77+C74+C67+C53+C49+C42+C35+C31+C24+C21+C20+C19+C18+C17+C16+C13</f>
        <v>21.618910567810786</v>
      </c>
      <c r="D81" s="28">
        <f>D80+D77+D74+D67+D53+D49+D42+D35+D31+D24+D21+D20+D19+D18+D17+D16+D13</f>
        <v>325780.076</v>
      </c>
    </row>
    <row r="83" spans="1:4">
      <c r="C83" s="40"/>
      <c r="D83" s="40"/>
    </row>
    <row r="84" spans="1:4">
      <c r="D84" s="40"/>
    </row>
    <row r="85" spans="1:4">
      <c r="D85" s="40"/>
    </row>
    <row r="86" spans="1:4">
      <c r="D86" s="40"/>
    </row>
  </sheetData>
  <mergeCells count="34">
    <mergeCell ref="C53:C64"/>
    <mergeCell ref="D53:D64"/>
    <mergeCell ref="A76:D76"/>
    <mergeCell ref="C77:C79"/>
    <mergeCell ref="D77:D79"/>
    <mergeCell ref="A66:D66"/>
    <mergeCell ref="A73:D73"/>
    <mergeCell ref="A74:A75"/>
    <mergeCell ref="B74:B75"/>
    <mergeCell ref="C74:C75"/>
    <mergeCell ref="D74:D75"/>
    <mergeCell ref="C67:C72"/>
    <mergeCell ref="D67:D72"/>
    <mergeCell ref="A48:D48"/>
    <mergeCell ref="C49:C51"/>
    <mergeCell ref="D49:D51"/>
    <mergeCell ref="A52:D52"/>
    <mergeCell ref="D13:D14"/>
    <mergeCell ref="C42:C47"/>
    <mergeCell ref="D42:D47"/>
    <mergeCell ref="C31:C32"/>
    <mergeCell ref="D31:D32"/>
    <mergeCell ref="A33:D33"/>
    <mergeCell ref="A34:D34"/>
    <mergeCell ref="C35:C40"/>
    <mergeCell ref="D35:D40"/>
    <mergeCell ref="A41:D41"/>
    <mergeCell ref="A12:D12"/>
    <mergeCell ref="A22:D22"/>
    <mergeCell ref="C24:C29"/>
    <mergeCell ref="D24:D29"/>
    <mergeCell ref="A30:D30"/>
    <mergeCell ref="B13:B14"/>
    <mergeCell ref="C13:C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81"/>
  <sheetViews>
    <sheetView topLeftCell="A61" workbookViewId="0">
      <selection activeCell="E68" sqref="E68:G68"/>
    </sheetView>
  </sheetViews>
  <sheetFormatPr defaultRowHeight="15"/>
  <cols>
    <col min="1" max="1" width="87.42578125" customWidth="1"/>
    <col min="2" max="2" width="12.5703125" customWidth="1"/>
    <col min="3" max="3" width="11.28515625" customWidth="1"/>
    <col min="4" max="4" width="11.7109375" customWidth="1"/>
  </cols>
  <sheetData>
    <row r="1" spans="1:7">
      <c r="A1" s="1" t="s">
        <v>0</v>
      </c>
      <c r="B1" s="2"/>
      <c r="C1" s="2"/>
      <c r="D1" s="2" t="s">
        <v>63</v>
      </c>
      <c r="E1" s="2"/>
      <c r="F1" s="2"/>
      <c r="G1" s="2"/>
    </row>
    <row r="2" spans="1:7">
      <c r="A2" s="1" t="s">
        <v>196</v>
      </c>
      <c r="B2" s="2"/>
      <c r="C2" s="2"/>
      <c r="D2" s="2"/>
      <c r="E2" s="2"/>
      <c r="F2" s="2"/>
      <c r="G2" s="2"/>
    </row>
    <row r="3" spans="1:7">
      <c r="A3" s="1" t="s">
        <v>241</v>
      </c>
      <c r="B3" s="2"/>
      <c r="C3" s="2"/>
      <c r="D3" s="2"/>
      <c r="E3" s="2"/>
      <c r="F3" s="2"/>
      <c r="G3" s="2"/>
    </row>
    <row r="4" spans="1:7">
      <c r="A4" s="3"/>
      <c r="B4" s="2"/>
      <c r="C4" s="2"/>
      <c r="D4" s="2"/>
      <c r="E4" s="2"/>
      <c r="F4" s="2"/>
      <c r="G4" s="2"/>
    </row>
    <row r="5" spans="1:7">
      <c r="A5" s="25" t="s">
        <v>58</v>
      </c>
      <c r="B5" s="2">
        <v>1985</v>
      </c>
      <c r="C5" s="2"/>
      <c r="D5" s="2"/>
      <c r="E5" s="2"/>
      <c r="F5" s="2"/>
      <c r="G5" s="2"/>
    </row>
    <row r="6" spans="1:7">
      <c r="A6" s="25" t="s">
        <v>59</v>
      </c>
      <c r="B6" s="2">
        <v>5</v>
      </c>
      <c r="C6" s="2"/>
      <c r="D6" s="2"/>
      <c r="E6" s="2"/>
      <c r="F6" s="2"/>
      <c r="G6" s="2"/>
    </row>
    <row r="7" spans="1:7">
      <c r="A7" s="25" t="s">
        <v>60</v>
      </c>
      <c r="B7" s="2">
        <v>2</v>
      </c>
      <c r="C7" s="2"/>
      <c r="D7" s="2"/>
      <c r="E7" s="2"/>
      <c r="F7" s="2"/>
      <c r="G7" s="2"/>
    </row>
    <row r="8" spans="1:7">
      <c r="A8" s="25" t="s">
        <v>61</v>
      </c>
      <c r="B8" s="2">
        <v>56</v>
      </c>
      <c r="C8" s="2"/>
      <c r="D8" s="2"/>
      <c r="E8" s="2"/>
      <c r="F8" s="2"/>
      <c r="G8" s="2"/>
    </row>
    <row r="9" spans="1:7">
      <c r="A9" s="25" t="s">
        <v>72</v>
      </c>
      <c r="B9" s="2">
        <v>1974.9</v>
      </c>
      <c r="C9" s="2"/>
      <c r="D9" s="2"/>
      <c r="E9" s="2"/>
      <c r="F9" s="2"/>
      <c r="G9" s="2"/>
    </row>
    <row r="10" spans="1:7">
      <c r="A10" s="25" t="s">
        <v>62</v>
      </c>
      <c r="B10" s="2">
        <v>416.1</v>
      </c>
      <c r="C10" s="2"/>
      <c r="D10" s="2"/>
      <c r="E10" s="2"/>
      <c r="F10" s="2"/>
      <c r="G10" s="2"/>
    </row>
    <row r="11" spans="1:7">
      <c r="A11" s="25" t="s">
        <v>73</v>
      </c>
      <c r="B11" s="46" t="s">
        <v>100</v>
      </c>
      <c r="C11" s="2"/>
      <c r="D11" s="2"/>
      <c r="E11" s="2"/>
      <c r="F11" s="2"/>
      <c r="G11" s="2"/>
    </row>
    <row r="12" spans="1:7" ht="45.75" customHeight="1">
      <c r="A12" s="91" t="s">
        <v>1</v>
      </c>
      <c r="B12" s="91" t="s">
        <v>2</v>
      </c>
      <c r="C12" s="91" t="s">
        <v>3</v>
      </c>
      <c r="D12" s="91" t="s">
        <v>4</v>
      </c>
      <c r="E12" s="186"/>
      <c r="F12" s="186"/>
      <c r="G12" s="186"/>
    </row>
    <row r="13" spans="1:7">
      <c r="A13" s="188" t="s">
        <v>5</v>
      </c>
      <c r="B13" s="189"/>
      <c r="C13" s="189"/>
      <c r="D13" s="190"/>
      <c r="E13" s="186"/>
      <c r="F13" s="186"/>
      <c r="G13" s="186"/>
    </row>
    <row r="14" spans="1:7" ht="87" customHeight="1">
      <c r="A14" s="104" t="s">
        <v>6</v>
      </c>
      <c r="B14" s="160" t="s">
        <v>8</v>
      </c>
      <c r="C14" s="153">
        <v>2.02</v>
      </c>
      <c r="D14" s="160">
        <f>C14*12*B9</f>
        <v>47871.576000000008</v>
      </c>
      <c r="E14" s="186"/>
      <c r="F14" s="186"/>
      <c r="G14" s="186"/>
    </row>
    <row r="15" spans="1:7" ht="73.5" customHeight="1">
      <c r="A15" s="103" t="s">
        <v>7</v>
      </c>
      <c r="B15" s="161"/>
      <c r="C15" s="162"/>
      <c r="D15" s="161"/>
      <c r="E15" s="186"/>
      <c r="F15" s="187"/>
      <c r="G15" s="187"/>
    </row>
    <row r="16" spans="1:7">
      <c r="A16" s="103" t="s">
        <v>9</v>
      </c>
      <c r="B16" s="91"/>
      <c r="C16" s="26"/>
      <c r="D16" s="26"/>
      <c r="E16" s="186"/>
      <c r="F16" s="187"/>
      <c r="G16" s="187"/>
    </row>
    <row r="17" spans="1:7">
      <c r="A17" s="6" t="s">
        <v>270</v>
      </c>
      <c r="B17" s="113" t="s">
        <v>105</v>
      </c>
      <c r="C17" s="44">
        <v>0.13</v>
      </c>
      <c r="D17" s="30">
        <f>C17*12*B9</f>
        <v>3080.8440000000001</v>
      </c>
      <c r="E17" s="116"/>
    </row>
    <row r="18" spans="1:7">
      <c r="A18" s="6" t="s">
        <v>197</v>
      </c>
      <c r="B18" s="91" t="s">
        <v>105</v>
      </c>
      <c r="C18" s="26">
        <v>0.13</v>
      </c>
      <c r="D18" s="30">
        <f>C18*12*B9</f>
        <v>3080.8440000000001</v>
      </c>
    </row>
    <row r="19" spans="1:7" ht="12" customHeight="1">
      <c r="A19" s="191" t="s">
        <v>10</v>
      </c>
      <c r="B19" s="192"/>
      <c r="C19" s="192"/>
      <c r="D19" s="193"/>
      <c r="E19" s="194"/>
      <c r="F19" s="186"/>
      <c r="G19" s="186"/>
    </row>
    <row r="20" spans="1:7" ht="11.25" customHeight="1">
      <c r="A20" s="6" t="s">
        <v>11</v>
      </c>
      <c r="B20" s="91" t="s">
        <v>75</v>
      </c>
      <c r="C20" s="153">
        <v>2.16</v>
      </c>
      <c r="D20" s="153">
        <f>C20*12*B9</f>
        <v>51189.408000000003</v>
      </c>
      <c r="E20" s="194"/>
      <c r="F20" s="186"/>
      <c r="G20" s="186"/>
    </row>
    <row r="21" spans="1:7" ht="13.5" customHeight="1">
      <c r="A21" s="6" t="s">
        <v>12</v>
      </c>
      <c r="B21" s="91" t="s">
        <v>75</v>
      </c>
      <c r="C21" s="168"/>
      <c r="D21" s="168"/>
      <c r="E21" s="194"/>
      <c r="F21" s="186"/>
      <c r="G21" s="186"/>
    </row>
    <row r="22" spans="1:7" ht="12.75" customHeight="1">
      <c r="A22" s="6" t="s">
        <v>13</v>
      </c>
      <c r="B22" s="91" t="s">
        <v>75</v>
      </c>
      <c r="C22" s="168"/>
      <c r="D22" s="168"/>
      <c r="E22" s="194"/>
      <c r="F22" s="186"/>
      <c r="G22" s="186"/>
    </row>
    <row r="23" spans="1:7" ht="12" customHeight="1">
      <c r="A23" s="6" t="s">
        <v>14</v>
      </c>
      <c r="B23" s="91" t="s">
        <v>76</v>
      </c>
      <c r="C23" s="168"/>
      <c r="D23" s="168"/>
      <c r="E23" s="194"/>
      <c r="F23" s="186"/>
      <c r="G23" s="186"/>
    </row>
    <row r="24" spans="1:7" ht="24" customHeight="1">
      <c r="A24" s="6" t="s">
        <v>15</v>
      </c>
      <c r="B24" s="91" t="s">
        <v>94</v>
      </c>
      <c r="C24" s="162"/>
      <c r="D24" s="162"/>
      <c r="E24" s="194"/>
      <c r="F24" s="186"/>
      <c r="G24" s="186"/>
    </row>
    <row r="25" spans="1:7" ht="12" customHeight="1">
      <c r="A25" s="191" t="s">
        <v>16</v>
      </c>
      <c r="B25" s="192"/>
      <c r="C25" s="192"/>
      <c r="D25" s="193"/>
      <c r="E25" s="194"/>
      <c r="F25" s="186"/>
      <c r="G25" s="186"/>
    </row>
    <row r="26" spans="1:7" ht="12" customHeight="1">
      <c r="A26" s="7" t="s">
        <v>17</v>
      </c>
      <c r="B26" s="21" t="s">
        <v>78</v>
      </c>
      <c r="C26" s="152">
        <v>0.2</v>
      </c>
      <c r="D26" s="167">
        <f>C26*12*B9</f>
        <v>4739.7600000000011</v>
      </c>
      <c r="E26" s="15"/>
    </row>
    <row r="27" spans="1:7" ht="12" customHeight="1">
      <c r="A27" s="7" t="s">
        <v>18</v>
      </c>
      <c r="B27" s="21" t="s">
        <v>77</v>
      </c>
      <c r="C27" s="152"/>
      <c r="D27" s="167"/>
      <c r="E27" s="48"/>
    </row>
    <row r="28" spans="1:7" ht="12" customHeight="1">
      <c r="A28" s="165" t="s">
        <v>19</v>
      </c>
      <c r="B28" s="165"/>
      <c r="C28" s="165"/>
      <c r="D28" s="165"/>
      <c r="E28" s="186"/>
      <c r="F28" s="187"/>
      <c r="G28" s="187"/>
    </row>
    <row r="29" spans="1:7" ht="12" customHeight="1">
      <c r="A29" s="167" t="s">
        <v>20</v>
      </c>
      <c r="B29" s="167"/>
      <c r="C29" s="167"/>
      <c r="D29" s="167"/>
      <c r="E29" s="186"/>
      <c r="F29" s="187"/>
      <c r="G29" s="187"/>
    </row>
    <row r="30" spans="1:7" ht="41.25" customHeight="1">
      <c r="A30" s="8" t="s">
        <v>21</v>
      </c>
      <c r="B30" s="22" t="s">
        <v>79</v>
      </c>
      <c r="C30" s="152">
        <v>1.66</v>
      </c>
      <c r="D30" s="152">
        <f>C30*12*B9</f>
        <v>39340.008000000002</v>
      </c>
      <c r="E30" s="186"/>
      <c r="F30" s="187"/>
      <c r="G30" s="187"/>
    </row>
    <row r="31" spans="1:7" ht="14.25" customHeight="1">
      <c r="A31" s="9" t="s">
        <v>23</v>
      </c>
      <c r="B31" s="23" t="s">
        <v>80</v>
      </c>
      <c r="C31" s="152"/>
      <c r="D31" s="152"/>
      <c r="E31" s="186"/>
      <c r="F31" s="187"/>
      <c r="G31" s="187"/>
    </row>
    <row r="32" spans="1:7" ht="12" customHeight="1">
      <c r="A32" s="9" t="s">
        <v>25</v>
      </c>
      <c r="B32" s="23" t="s">
        <v>80</v>
      </c>
      <c r="C32" s="152"/>
      <c r="D32" s="152"/>
      <c r="E32" s="186"/>
      <c r="F32" s="187"/>
      <c r="G32" s="187"/>
    </row>
    <row r="33" spans="1:7" ht="42.75" customHeight="1">
      <c r="A33" s="9" t="s">
        <v>26</v>
      </c>
      <c r="B33" s="22" t="s">
        <v>79</v>
      </c>
      <c r="C33" s="152"/>
      <c r="D33" s="152"/>
      <c r="E33" s="186"/>
      <c r="F33" s="187"/>
      <c r="G33" s="187"/>
    </row>
    <row r="34" spans="1:7" ht="12" customHeight="1">
      <c r="A34" s="9" t="s">
        <v>27</v>
      </c>
      <c r="B34" s="22" t="s">
        <v>24</v>
      </c>
      <c r="C34" s="152"/>
      <c r="D34" s="152"/>
      <c r="E34" s="186"/>
      <c r="F34" s="187"/>
      <c r="G34" s="187"/>
    </row>
    <row r="35" spans="1:7" ht="42" customHeight="1">
      <c r="A35" s="10" t="s">
        <v>28</v>
      </c>
      <c r="B35" s="22" t="s">
        <v>79</v>
      </c>
      <c r="C35" s="152"/>
      <c r="D35" s="152"/>
      <c r="E35" s="186"/>
      <c r="F35" s="187"/>
      <c r="G35" s="187"/>
    </row>
    <row r="36" spans="1:7" ht="12" customHeight="1">
      <c r="A36" s="167" t="s">
        <v>29</v>
      </c>
      <c r="B36" s="167"/>
      <c r="C36" s="167"/>
      <c r="D36" s="167"/>
      <c r="E36" s="186"/>
      <c r="F36" s="187"/>
      <c r="G36" s="187"/>
    </row>
    <row r="37" spans="1:7" ht="39" customHeight="1">
      <c r="A37" s="9" t="s">
        <v>30</v>
      </c>
      <c r="B37" s="22" t="s">
        <v>79</v>
      </c>
      <c r="C37" s="152">
        <v>1.76</v>
      </c>
      <c r="D37" s="152">
        <f>C37*12*B9</f>
        <v>41709.888000000006</v>
      </c>
      <c r="E37" s="186"/>
      <c r="F37" s="187"/>
      <c r="G37" s="187"/>
    </row>
    <row r="38" spans="1:7" ht="34.5" customHeight="1">
      <c r="A38" s="9" t="s">
        <v>31</v>
      </c>
      <c r="B38" s="22" t="s">
        <v>79</v>
      </c>
      <c r="C38" s="152"/>
      <c r="D38" s="152"/>
      <c r="E38" s="186"/>
      <c r="F38" s="187"/>
      <c r="G38" s="187"/>
    </row>
    <row r="39" spans="1:7" ht="38.25" customHeight="1">
      <c r="A39" s="10" t="s">
        <v>32</v>
      </c>
      <c r="B39" s="22" t="s">
        <v>79</v>
      </c>
      <c r="C39" s="152"/>
      <c r="D39" s="152"/>
      <c r="E39" s="186"/>
      <c r="F39" s="187"/>
      <c r="G39" s="187"/>
    </row>
    <row r="40" spans="1:7" ht="12" customHeight="1">
      <c r="A40" s="167" t="s">
        <v>33</v>
      </c>
      <c r="B40" s="167"/>
      <c r="C40" s="167"/>
      <c r="D40" s="167"/>
      <c r="E40" s="186"/>
      <c r="F40" s="187"/>
      <c r="G40" s="187"/>
    </row>
    <row r="41" spans="1:7" ht="26.25" customHeight="1">
      <c r="A41" s="9" t="s">
        <v>34</v>
      </c>
      <c r="B41" s="22" t="s">
        <v>109</v>
      </c>
      <c r="C41" s="152">
        <v>1.56</v>
      </c>
      <c r="D41" s="152">
        <f>C41*12*B9</f>
        <v>36970.127999999997</v>
      </c>
      <c r="E41" s="186"/>
      <c r="F41" s="187"/>
      <c r="G41" s="187"/>
    </row>
    <row r="42" spans="1:7" ht="15" customHeight="1">
      <c r="A42" s="9" t="s">
        <v>35</v>
      </c>
      <c r="B42" s="22" t="s">
        <v>110</v>
      </c>
      <c r="C42" s="152"/>
      <c r="D42" s="152"/>
      <c r="E42" s="186"/>
      <c r="F42" s="187"/>
      <c r="G42" s="187"/>
    </row>
    <row r="43" spans="1:7" ht="14.25" customHeight="1">
      <c r="A43" s="9" t="s">
        <v>36</v>
      </c>
      <c r="B43" s="22" t="s">
        <v>84</v>
      </c>
      <c r="C43" s="152"/>
      <c r="D43" s="152"/>
      <c r="E43" s="186"/>
      <c r="F43" s="187"/>
      <c r="G43" s="187"/>
    </row>
    <row r="44" spans="1:7" ht="33" customHeight="1">
      <c r="A44" s="9" t="s">
        <v>37</v>
      </c>
      <c r="B44" s="22" t="s">
        <v>82</v>
      </c>
      <c r="C44" s="152"/>
      <c r="D44" s="152"/>
      <c r="E44" s="186"/>
      <c r="F44" s="187"/>
      <c r="G44" s="187"/>
    </row>
    <row r="45" spans="1:7" ht="27" customHeight="1">
      <c r="A45" s="9" t="s">
        <v>38</v>
      </c>
      <c r="B45" s="22" t="s">
        <v>82</v>
      </c>
      <c r="C45" s="152"/>
      <c r="D45" s="152"/>
      <c r="E45" s="186"/>
      <c r="F45" s="187"/>
      <c r="G45" s="187"/>
    </row>
    <row r="46" spans="1:7" ht="13.5" customHeight="1">
      <c r="A46" s="88" t="s">
        <v>39</v>
      </c>
      <c r="B46" s="6"/>
      <c r="C46" s="152"/>
      <c r="D46" s="152"/>
      <c r="E46" s="186"/>
      <c r="F46" s="187"/>
      <c r="G46" s="187"/>
    </row>
    <row r="47" spans="1:7" ht="42" customHeight="1">
      <c r="A47" s="9" t="s">
        <v>40</v>
      </c>
      <c r="B47" s="22" t="s">
        <v>79</v>
      </c>
      <c r="C47" s="152"/>
      <c r="D47" s="152"/>
      <c r="E47" s="4"/>
      <c r="F47" s="4"/>
      <c r="G47" s="4"/>
    </row>
    <row r="48" spans="1:7" ht="14.25" customHeight="1">
      <c r="A48" s="9" t="s">
        <v>41</v>
      </c>
      <c r="B48" s="22" t="s">
        <v>24</v>
      </c>
      <c r="C48" s="152"/>
      <c r="D48" s="152"/>
      <c r="E48" s="4"/>
      <c r="F48" s="4"/>
      <c r="G48" s="4"/>
    </row>
    <row r="49" spans="1:7" ht="15" customHeight="1">
      <c r="A49" s="9" t="s">
        <v>42</v>
      </c>
      <c r="B49" s="23" t="s">
        <v>24</v>
      </c>
      <c r="C49" s="152"/>
      <c r="D49" s="152"/>
      <c r="E49" s="4"/>
      <c r="F49" s="4"/>
      <c r="G49" s="4"/>
    </row>
    <row r="50" spans="1:7" ht="15.75" customHeight="1">
      <c r="A50" s="9" t="s">
        <v>43</v>
      </c>
      <c r="B50" s="23" t="s">
        <v>24</v>
      </c>
      <c r="C50" s="152"/>
      <c r="D50" s="152"/>
      <c r="E50" s="4"/>
      <c r="F50" s="4"/>
      <c r="G50" s="4"/>
    </row>
    <row r="51" spans="1:7" ht="18.75" customHeight="1">
      <c r="A51" s="9" t="s">
        <v>44</v>
      </c>
      <c r="B51" s="21" t="s">
        <v>176</v>
      </c>
      <c r="C51" s="152"/>
      <c r="D51" s="152"/>
      <c r="E51" s="5"/>
      <c r="F51" s="4"/>
      <c r="G51" s="4"/>
    </row>
    <row r="52" spans="1:7" ht="42" customHeight="1">
      <c r="A52" s="10" t="s">
        <v>45</v>
      </c>
      <c r="B52" s="22" t="s">
        <v>79</v>
      </c>
      <c r="C52" s="152"/>
      <c r="D52" s="152"/>
      <c r="E52" s="5"/>
      <c r="F52" s="4"/>
      <c r="G52" s="4"/>
    </row>
    <row r="53" spans="1:7" ht="12" customHeight="1">
      <c r="A53" s="167" t="s">
        <v>46</v>
      </c>
      <c r="B53" s="167"/>
      <c r="C53" s="167"/>
      <c r="D53" s="167"/>
      <c r="E53" s="186"/>
      <c r="F53" s="186"/>
      <c r="G53" s="186"/>
    </row>
    <row r="54" spans="1:7" ht="12" customHeight="1">
      <c r="A54" s="9" t="s">
        <v>47</v>
      </c>
      <c r="B54" s="22" t="s">
        <v>83</v>
      </c>
      <c r="C54" s="152">
        <v>0.97</v>
      </c>
      <c r="D54" s="152">
        <f>C54*12*B9-23.19</f>
        <v>22964.646000000004</v>
      </c>
      <c r="E54" s="186"/>
      <c r="F54" s="187"/>
      <c r="G54" s="187"/>
    </row>
    <row r="55" spans="1:7" ht="15" customHeight="1">
      <c r="A55" s="9" t="s">
        <v>48</v>
      </c>
      <c r="B55" s="22" t="s">
        <v>83</v>
      </c>
      <c r="C55" s="152"/>
      <c r="D55" s="152"/>
      <c r="E55" s="186"/>
      <c r="F55" s="187"/>
      <c r="G55" s="187"/>
    </row>
    <row r="56" spans="1:7" ht="28.5" customHeight="1">
      <c r="A56" s="9" t="s">
        <v>49</v>
      </c>
      <c r="B56" s="22" t="s">
        <v>84</v>
      </c>
      <c r="C56" s="152"/>
      <c r="D56" s="152"/>
      <c r="E56" s="186"/>
      <c r="F56" s="187"/>
      <c r="G56" s="187"/>
    </row>
    <row r="57" spans="1:7" ht="12" customHeight="1">
      <c r="A57" s="9" t="s">
        <v>50</v>
      </c>
      <c r="B57" s="22" t="s">
        <v>104</v>
      </c>
      <c r="C57" s="152"/>
      <c r="D57" s="152"/>
      <c r="E57" s="186"/>
      <c r="F57" s="187"/>
      <c r="G57" s="187"/>
    </row>
    <row r="58" spans="1:7" ht="36.75" customHeight="1">
      <c r="A58" s="10" t="s">
        <v>51</v>
      </c>
      <c r="B58" s="22" t="s">
        <v>79</v>
      </c>
      <c r="C58" s="152"/>
      <c r="D58" s="152"/>
      <c r="E58" s="186"/>
      <c r="F58" s="187"/>
      <c r="G58" s="187"/>
    </row>
    <row r="59" spans="1:7" ht="13.5" customHeight="1">
      <c r="A59" s="10" t="s">
        <v>52</v>
      </c>
      <c r="B59" s="23" t="s">
        <v>84</v>
      </c>
      <c r="C59" s="152"/>
      <c r="D59" s="152"/>
      <c r="E59" s="186"/>
      <c r="F59" s="187"/>
      <c r="G59" s="187"/>
    </row>
    <row r="60" spans="1:7" ht="15" customHeight="1">
      <c r="A60" s="165" t="s">
        <v>53</v>
      </c>
      <c r="B60" s="165"/>
      <c r="C60" s="165"/>
      <c r="D60" s="165"/>
      <c r="E60" s="186"/>
      <c r="F60" s="187"/>
      <c r="G60" s="187"/>
    </row>
    <row r="61" spans="1:7" ht="34.5" customHeight="1">
      <c r="A61" s="160" t="s">
        <v>54</v>
      </c>
      <c r="B61" s="177" t="s">
        <v>86</v>
      </c>
      <c r="C61" s="152">
        <v>2.41</v>
      </c>
      <c r="D61" s="152">
        <f>C61*12*B9</f>
        <v>57114.108000000007</v>
      </c>
      <c r="E61" s="186"/>
      <c r="F61" s="187"/>
      <c r="G61" s="187"/>
    </row>
    <row r="62" spans="1:7" ht="15" customHeight="1">
      <c r="A62" s="161"/>
      <c r="B62" s="177"/>
      <c r="C62" s="152"/>
      <c r="D62" s="152"/>
      <c r="E62" s="186"/>
      <c r="F62" s="187"/>
      <c r="G62" s="187"/>
    </row>
    <row r="63" spans="1:7" ht="12.75" customHeight="1">
      <c r="A63" s="88" t="s">
        <v>55</v>
      </c>
      <c r="B63" s="21"/>
      <c r="C63" s="89"/>
      <c r="D63" s="89"/>
      <c r="E63" s="186"/>
      <c r="F63" s="187"/>
      <c r="G63" s="187"/>
    </row>
    <row r="64" spans="1:7" ht="16.5" customHeight="1">
      <c r="A64" s="6" t="s">
        <v>90</v>
      </c>
      <c r="B64" s="21" t="s">
        <v>87</v>
      </c>
      <c r="C64" s="170">
        <v>2.14</v>
      </c>
      <c r="D64" s="172">
        <f>C64*12*B9</f>
        <v>50715.432000000001</v>
      </c>
    </row>
    <row r="65" spans="1:7">
      <c r="A65" s="6" t="s">
        <v>91</v>
      </c>
      <c r="B65" s="21" t="s">
        <v>87</v>
      </c>
      <c r="C65" s="171"/>
      <c r="D65" s="173"/>
    </row>
    <row r="66" spans="1:7" ht="15" customHeight="1">
      <c r="A66" s="6" t="s">
        <v>92</v>
      </c>
      <c r="B66" s="21" t="s">
        <v>87</v>
      </c>
      <c r="C66" s="169"/>
      <c r="D66" s="174"/>
    </row>
    <row r="67" spans="1:7" ht="39" customHeight="1">
      <c r="A67" s="6" t="s">
        <v>143</v>
      </c>
      <c r="B67" s="22" t="s">
        <v>79</v>
      </c>
      <c r="C67" s="89">
        <v>4.22</v>
      </c>
      <c r="D67" s="89">
        <f>C67*12*B9</f>
        <v>100008.936</v>
      </c>
      <c r="E67" s="186"/>
      <c r="F67" s="187"/>
      <c r="G67" s="187"/>
    </row>
    <row r="68" spans="1:7" ht="12" customHeight="1">
      <c r="A68" s="88" t="s">
        <v>56</v>
      </c>
      <c r="B68" s="23"/>
      <c r="C68" s="28">
        <f>C67+C64+C61+C54+C41+C37+C30+C26+C20+C18+C17+C14</f>
        <v>19.359999999999996</v>
      </c>
      <c r="D68" s="28">
        <f>D67+D64+D61+D54+D41+D37+D30+D26+D20+D18+D17+D14</f>
        <v>458785.57800000004</v>
      </c>
      <c r="E68" s="186"/>
      <c r="F68" s="187"/>
      <c r="G68" s="187"/>
    </row>
    <row r="69" spans="1:7">
      <c r="A69" s="92"/>
      <c r="B69" s="92"/>
      <c r="C69" s="92"/>
      <c r="D69" s="92"/>
      <c r="E69" s="92"/>
      <c r="F69" s="92"/>
      <c r="G69" s="92"/>
    </row>
    <row r="70" spans="1:7">
      <c r="A70" s="15"/>
      <c r="B70" s="16"/>
      <c r="C70" s="17"/>
      <c r="D70" s="17"/>
      <c r="E70" s="18"/>
      <c r="F70" s="18"/>
      <c r="G70" s="16"/>
    </row>
    <row r="71" spans="1:7" ht="17.25" customHeight="1">
      <c r="A71" s="15"/>
      <c r="B71" s="16"/>
      <c r="C71" s="195"/>
      <c r="D71" s="195"/>
      <c r="E71" s="197"/>
      <c r="F71" s="197"/>
      <c r="G71" s="16"/>
    </row>
    <row r="72" spans="1:7" ht="17.25" customHeight="1">
      <c r="A72" s="15"/>
      <c r="B72" s="16"/>
      <c r="C72" s="196"/>
      <c r="D72" s="196"/>
      <c r="E72" s="196"/>
      <c r="F72" s="196"/>
      <c r="G72" s="16"/>
    </row>
    <row r="73" spans="1:7" ht="17.25" customHeight="1">
      <c r="A73" s="19"/>
      <c r="B73" s="12"/>
      <c r="C73" s="13"/>
      <c r="D73" s="45"/>
      <c r="E73" s="13"/>
      <c r="F73" s="20"/>
      <c r="G73" s="14"/>
    </row>
    <row r="74" spans="1:7" ht="17.25" customHeight="1">
      <c r="A74" s="19"/>
      <c r="B74" s="12"/>
      <c r="C74" s="13"/>
      <c r="D74" s="45"/>
      <c r="E74" s="13"/>
      <c r="F74" s="13"/>
      <c r="G74" s="14"/>
    </row>
    <row r="75" spans="1:7" ht="17.25" customHeight="1">
      <c r="A75" s="19"/>
      <c r="B75" s="12"/>
      <c r="C75" s="13"/>
      <c r="D75" s="45"/>
      <c r="E75" s="13"/>
      <c r="F75" s="13"/>
      <c r="G75" s="14"/>
    </row>
    <row r="76" spans="1:7">
      <c r="A76" s="19"/>
      <c r="B76" s="12"/>
      <c r="C76" s="13"/>
      <c r="D76" s="13"/>
      <c r="E76" s="13"/>
      <c r="F76" s="13"/>
      <c r="G76" s="14"/>
    </row>
    <row r="77" spans="1:7">
      <c r="A77" s="19"/>
      <c r="B77" s="12"/>
      <c r="C77" s="13"/>
      <c r="D77" s="13"/>
      <c r="E77" s="13"/>
      <c r="F77" s="13"/>
      <c r="G77" s="14"/>
    </row>
    <row r="78" spans="1:7">
      <c r="A78" s="19"/>
      <c r="B78" s="12"/>
      <c r="C78" s="13"/>
      <c r="D78" s="13"/>
      <c r="E78" s="13"/>
      <c r="F78" s="13"/>
      <c r="G78" s="14"/>
    </row>
    <row r="79" spans="1:7">
      <c r="A79" s="19"/>
      <c r="B79" s="12"/>
      <c r="C79" s="13"/>
      <c r="D79" s="13"/>
      <c r="E79" s="13"/>
      <c r="F79" s="13"/>
      <c r="G79" s="14"/>
    </row>
    <row r="80" spans="1:7">
      <c r="A80" s="19"/>
      <c r="B80" s="12"/>
      <c r="C80" s="13"/>
      <c r="D80" s="13"/>
      <c r="E80" s="13"/>
      <c r="F80" s="13"/>
      <c r="G80" s="14"/>
    </row>
    <row r="81" spans="1:7">
      <c r="A81" s="11"/>
      <c r="B81" s="12"/>
      <c r="C81" s="13"/>
      <c r="D81" s="13"/>
      <c r="E81" s="13"/>
      <c r="F81" s="13"/>
      <c r="G81" s="14"/>
    </row>
  </sheetData>
  <mergeCells count="78">
    <mergeCell ref="E68:G68"/>
    <mergeCell ref="C71:C72"/>
    <mergeCell ref="D71:D72"/>
    <mergeCell ref="E71:E72"/>
    <mergeCell ref="F71:F72"/>
    <mergeCell ref="A61:A62"/>
    <mergeCell ref="B61:B62"/>
    <mergeCell ref="C61:C62"/>
    <mergeCell ref="D61:D62"/>
    <mergeCell ref="E61:G61"/>
    <mergeCell ref="E62:G62"/>
    <mergeCell ref="E63:G63"/>
    <mergeCell ref="C64:C66"/>
    <mergeCell ref="D64:D66"/>
    <mergeCell ref="E67:G67"/>
    <mergeCell ref="A53:D53"/>
    <mergeCell ref="E53:G53"/>
    <mergeCell ref="C54:C59"/>
    <mergeCell ref="D54:D59"/>
    <mergeCell ref="E54:G54"/>
    <mergeCell ref="E55:G55"/>
    <mergeCell ref="E56:G56"/>
    <mergeCell ref="E57:G57"/>
    <mergeCell ref="E58:G58"/>
    <mergeCell ref="E59:G59"/>
    <mergeCell ref="A60:D60"/>
    <mergeCell ref="E60:G60"/>
    <mergeCell ref="A40:D40"/>
    <mergeCell ref="E40:G40"/>
    <mergeCell ref="C41:C52"/>
    <mergeCell ref="D41:D52"/>
    <mergeCell ref="E41:G41"/>
    <mergeCell ref="E42:G42"/>
    <mergeCell ref="E43:G43"/>
    <mergeCell ref="E44:G44"/>
    <mergeCell ref="E45:G45"/>
    <mergeCell ref="E46:G46"/>
    <mergeCell ref="A36:D36"/>
    <mergeCell ref="E36:G36"/>
    <mergeCell ref="C37:C39"/>
    <mergeCell ref="D37:D39"/>
    <mergeCell ref="E37:G37"/>
    <mergeCell ref="E38:G38"/>
    <mergeCell ref="E39:G39"/>
    <mergeCell ref="A29:D29"/>
    <mergeCell ref="E29:G29"/>
    <mergeCell ref="C30:C35"/>
    <mergeCell ref="D30:D35"/>
    <mergeCell ref="E30:G30"/>
    <mergeCell ref="E31:G31"/>
    <mergeCell ref="E32:G32"/>
    <mergeCell ref="E33:G33"/>
    <mergeCell ref="E34:G34"/>
    <mergeCell ref="E35:G35"/>
    <mergeCell ref="A25:D25"/>
    <mergeCell ref="E25:G25"/>
    <mergeCell ref="C26:C27"/>
    <mergeCell ref="D26:D27"/>
    <mergeCell ref="A28:D28"/>
    <mergeCell ref="E28:G28"/>
    <mergeCell ref="A19:D19"/>
    <mergeCell ref="E19:G19"/>
    <mergeCell ref="C20:C24"/>
    <mergeCell ref="D20:D24"/>
    <mergeCell ref="E20:G20"/>
    <mergeCell ref="E21:G21"/>
    <mergeCell ref="E22:G22"/>
    <mergeCell ref="E23:G23"/>
    <mergeCell ref="E24:G24"/>
    <mergeCell ref="E16:G16"/>
    <mergeCell ref="E12:G12"/>
    <mergeCell ref="A13:D13"/>
    <mergeCell ref="E13:G13"/>
    <mergeCell ref="E14:G14"/>
    <mergeCell ref="E15:G15"/>
    <mergeCell ref="B14:B15"/>
    <mergeCell ref="C14:C15"/>
    <mergeCell ref="D14:D1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89"/>
  <sheetViews>
    <sheetView topLeftCell="A67" workbookViewId="0">
      <selection activeCell="D83" sqref="D83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5">
      <c r="A1" s="1" t="s">
        <v>0</v>
      </c>
      <c r="B1" s="2"/>
      <c r="C1" s="2"/>
      <c r="D1" s="2" t="s">
        <v>64</v>
      </c>
    </row>
    <row r="2" spans="1:5">
      <c r="A2" s="1" t="s">
        <v>194</v>
      </c>
      <c r="B2" s="2"/>
      <c r="C2" s="2"/>
      <c r="D2" s="2"/>
    </row>
    <row r="3" spans="1:5">
      <c r="A3" s="1" t="s">
        <v>259</v>
      </c>
      <c r="B3" s="2"/>
      <c r="C3" s="2"/>
      <c r="D3" s="2"/>
    </row>
    <row r="4" spans="1:5">
      <c r="A4" s="25" t="s">
        <v>58</v>
      </c>
      <c r="B4" s="2">
        <v>1990</v>
      </c>
      <c r="C4" s="2"/>
      <c r="D4" s="2"/>
    </row>
    <row r="5" spans="1:5">
      <c r="A5" s="25" t="s">
        <v>59</v>
      </c>
      <c r="B5" s="2">
        <v>5</v>
      </c>
      <c r="C5" s="2"/>
      <c r="D5" s="2"/>
    </row>
    <row r="6" spans="1:5">
      <c r="A6" s="25" t="s">
        <v>60</v>
      </c>
      <c r="B6" s="2">
        <v>7</v>
      </c>
      <c r="C6" s="2"/>
      <c r="D6" s="2"/>
    </row>
    <row r="7" spans="1:5">
      <c r="A7" s="25" t="s">
        <v>61</v>
      </c>
      <c r="B7" s="2">
        <v>100</v>
      </c>
      <c r="C7" s="2"/>
      <c r="D7" s="2"/>
    </row>
    <row r="8" spans="1:5">
      <c r="A8" s="25" t="s">
        <v>72</v>
      </c>
      <c r="B8" s="2">
        <v>5952.9</v>
      </c>
      <c r="C8" s="2"/>
      <c r="D8" s="46"/>
    </row>
    <row r="9" spans="1:5">
      <c r="A9" s="25" t="s">
        <v>62</v>
      </c>
      <c r="B9" s="2">
        <v>669</v>
      </c>
      <c r="C9" s="2"/>
      <c r="D9" s="2"/>
    </row>
    <row r="10" spans="1:5">
      <c r="A10" s="25" t="s">
        <v>73</v>
      </c>
      <c r="B10" s="46">
        <v>1297.2</v>
      </c>
      <c r="C10" s="2"/>
      <c r="D10" s="2"/>
    </row>
    <row r="11" spans="1:5" ht="36.75">
      <c r="A11" s="83" t="s">
        <v>1</v>
      </c>
      <c r="B11" s="83" t="s">
        <v>2</v>
      </c>
      <c r="C11" s="83" t="s">
        <v>3</v>
      </c>
      <c r="D11" s="83" t="s">
        <v>4</v>
      </c>
    </row>
    <row r="12" spans="1:5">
      <c r="A12" s="178" t="s">
        <v>5</v>
      </c>
      <c r="B12" s="158"/>
      <c r="C12" s="158"/>
      <c r="D12" s="159"/>
    </row>
    <row r="13" spans="1:5" ht="88.5" customHeight="1">
      <c r="A13" s="104" t="s">
        <v>6</v>
      </c>
      <c r="B13" s="182" t="s">
        <v>8</v>
      </c>
      <c r="C13" s="153">
        <v>1.04</v>
      </c>
      <c r="D13" s="163">
        <f>C13*12*B8</f>
        <v>74292.191999999995</v>
      </c>
    </row>
    <row r="14" spans="1:5" ht="75.75" customHeight="1">
      <c r="A14" s="103" t="s">
        <v>89</v>
      </c>
      <c r="B14" s="183"/>
      <c r="C14" s="162"/>
      <c r="D14" s="164"/>
      <c r="E14" s="116"/>
    </row>
    <row r="15" spans="1:5">
      <c r="A15" s="103" t="s">
        <v>9</v>
      </c>
      <c r="B15" s="83"/>
      <c r="C15" s="26"/>
      <c r="D15" s="30"/>
    </row>
    <row r="16" spans="1:5">
      <c r="A16" s="103" t="s">
        <v>267</v>
      </c>
      <c r="B16" s="113" t="s">
        <v>88</v>
      </c>
      <c r="C16" s="26">
        <v>0.11</v>
      </c>
      <c r="D16" s="30">
        <f>C16*12*B8</f>
        <v>7857.8279999999995</v>
      </c>
    </row>
    <row r="17" spans="1:5">
      <c r="A17" s="6" t="s">
        <v>260</v>
      </c>
      <c r="B17" s="113" t="s">
        <v>244</v>
      </c>
      <c r="C17" s="26">
        <v>1.39</v>
      </c>
      <c r="D17" s="30">
        <f>C17*12*B8</f>
        <v>99294.371999999988</v>
      </c>
    </row>
    <row r="18" spans="1:5">
      <c r="A18" s="6" t="s">
        <v>261</v>
      </c>
      <c r="B18" s="113" t="s">
        <v>88</v>
      </c>
      <c r="C18" s="44">
        <f>D18/12/B8</f>
        <v>0.15177476524047104</v>
      </c>
      <c r="D18" s="30">
        <v>10842</v>
      </c>
    </row>
    <row r="19" spans="1:5">
      <c r="A19" s="6" t="s">
        <v>262</v>
      </c>
      <c r="B19" s="91" t="s">
        <v>88</v>
      </c>
      <c r="C19" s="44">
        <f>D19/12/B8</f>
        <v>0.35906868921030088</v>
      </c>
      <c r="D19" s="30">
        <v>25650</v>
      </c>
    </row>
    <row r="20" spans="1:5">
      <c r="A20" s="6" t="s">
        <v>263</v>
      </c>
      <c r="B20" s="113" t="s">
        <v>88</v>
      </c>
      <c r="C20" s="44">
        <f>D20/12/B8</f>
        <v>0.39434561306254096</v>
      </c>
      <c r="D20" s="30">
        <f>31.3*900</f>
        <v>28170</v>
      </c>
    </row>
    <row r="21" spans="1:5">
      <c r="A21" s="6" t="s">
        <v>264</v>
      </c>
      <c r="B21" s="91" t="s">
        <v>105</v>
      </c>
      <c r="C21" s="44">
        <f>D21/12/B8</f>
        <v>0.25925739275535176</v>
      </c>
      <c r="D21" s="30">
        <v>18520</v>
      </c>
      <c r="E21" s="40"/>
    </row>
    <row r="22" spans="1:5">
      <c r="A22" s="6" t="s">
        <v>265</v>
      </c>
      <c r="B22" s="113" t="s">
        <v>88</v>
      </c>
      <c r="C22" s="44">
        <f>D22/12/B8</f>
        <v>0.59578804728227697</v>
      </c>
      <c r="D22" s="30">
        <v>42560</v>
      </c>
    </row>
    <row r="23" spans="1:5">
      <c r="A23" s="6" t="s">
        <v>266</v>
      </c>
      <c r="B23" s="113" t="s">
        <v>80</v>
      </c>
      <c r="C23" s="44">
        <f>D23/12/B8</f>
        <v>0.62994506879000156</v>
      </c>
      <c r="D23" s="30">
        <v>45000</v>
      </c>
    </row>
    <row r="24" spans="1:5">
      <c r="A24" s="165" t="s">
        <v>10</v>
      </c>
      <c r="B24" s="165"/>
      <c r="C24" s="165"/>
      <c r="D24" s="165"/>
    </row>
    <row r="25" spans="1:5" ht="13.5" customHeight="1">
      <c r="A25" s="39" t="s">
        <v>97</v>
      </c>
      <c r="B25" s="85"/>
      <c r="C25" s="85"/>
      <c r="D25" s="85"/>
    </row>
    <row r="26" spans="1:5" ht="13.5" customHeight="1">
      <c r="A26" s="6" t="s">
        <v>11</v>
      </c>
      <c r="B26" s="83" t="s">
        <v>75</v>
      </c>
      <c r="C26" s="152">
        <v>2.16</v>
      </c>
      <c r="D26" s="166">
        <f>C26*12*B8</f>
        <v>154299.16800000001</v>
      </c>
    </row>
    <row r="27" spans="1:5" ht="12.75" customHeight="1">
      <c r="A27" s="6" t="s">
        <v>12</v>
      </c>
      <c r="B27" s="83" t="s">
        <v>75</v>
      </c>
      <c r="C27" s="152"/>
      <c r="D27" s="155"/>
    </row>
    <row r="28" spans="1:5" ht="14.25" customHeight="1">
      <c r="A28" s="6" t="s">
        <v>13</v>
      </c>
      <c r="B28" s="83" t="s">
        <v>75</v>
      </c>
      <c r="C28" s="152"/>
      <c r="D28" s="155"/>
    </row>
    <row r="29" spans="1:5" ht="13.5" customHeight="1">
      <c r="A29" s="6" t="s">
        <v>14</v>
      </c>
      <c r="B29" s="83" t="s">
        <v>76</v>
      </c>
      <c r="C29" s="152"/>
      <c r="D29" s="155"/>
    </row>
    <row r="30" spans="1:5" ht="12.75" customHeight="1">
      <c r="A30" s="39" t="s">
        <v>93</v>
      </c>
      <c r="B30" s="83"/>
      <c r="C30" s="152"/>
      <c r="D30" s="155"/>
    </row>
    <row r="31" spans="1:5" ht="30" customHeight="1">
      <c r="A31" s="6" t="s">
        <v>15</v>
      </c>
      <c r="B31" s="83" t="s">
        <v>94</v>
      </c>
      <c r="C31" s="152"/>
      <c r="D31" s="156"/>
    </row>
    <row r="32" spans="1:5" ht="12.75" customHeight="1">
      <c r="A32" s="157" t="s">
        <v>16</v>
      </c>
      <c r="B32" s="158"/>
      <c r="C32" s="158"/>
      <c r="D32" s="159"/>
    </row>
    <row r="33" spans="1:4" ht="12" customHeight="1">
      <c r="A33" s="7" t="s">
        <v>17</v>
      </c>
      <c r="B33" s="21" t="s">
        <v>78</v>
      </c>
      <c r="C33" s="152">
        <v>0.2</v>
      </c>
      <c r="D33" s="167">
        <f>C33*12*B8</f>
        <v>14286.960000000001</v>
      </c>
    </row>
    <row r="34" spans="1:4" ht="12" customHeight="1">
      <c r="A34" s="7" t="s">
        <v>18</v>
      </c>
      <c r="B34" s="21" t="s">
        <v>77</v>
      </c>
      <c r="C34" s="152"/>
      <c r="D34" s="167"/>
    </row>
    <row r="35" spans="1:4" ht="13.5" customHeight="1">
      <c r="A35" s="157" t="s">
        <v>19</v>
      </c>
      <c r="B35" s="158"/>
      <c r="C35" s="158"/>
      <c r="D35" s="159"/>
    </row>
    <row r="36" spans="1:4">
      <c r="A36" s="167" t="s">
        <v>20</v>
      </c>
      <c r="B36" s="167"/>
      <c r="C36" s="167"/>
      <c r="D36" s="167"/>
    </row>
    <row r="37" spans="1:4" ht="37.5" customHeight="1">
      <c r="A37" s="8" t="s">
        <v>21</v>
      </c>
      <c r="B37" s="22" t="s">
        <v>79</v>
      </c>
      <c r="C37" s="152">
        <v>0.52</v>
      </c>
      <c r="D37" s="154">
        <f>C37*12*B8</f>
        <v>37146.095999999998</v>
      </c>
    </row>
    <row r="38" spans="1:4" ht="15" customHeight="1">
      <c r="A38" s="9" t="s">
        <v>23</v>
      </c>
      <c r="B38" s="23" t="s">
        <v>108</v>
      </c>
      <c r="C38" s="152"/>
      <c r="D38" s="155"/>
    </row>
    <row r="39" spans="1:4" ht="13.5" customHeight="1">
      <c r="A39" s="9" t="s">
        <v>25</v>
      </c>
      <c r="B39" s="23" t="s">
        <v>108</v>
      </c>
      <c r="C39" s="152"/>
      <c r="D39" s="155"/>
    </row>
    <row r="40" spans="1:4" ht="36" customHeight="1">
      <c r="A40" s="9" t="s">
        <v>26</v>
      </c>
      <c r="B40" s="22" t="s">
        <v>22</v>
      </c>
      <c r="C40" s="152"/>
      <c r="D40" s="155"/>
    </row>
    <row r="41" spans="1:4" ht="14.25" customHeight="1">
      <c r="A41" s="9" t="s">
        <v>27</v>
      </c>
      <c r="B41" s="22" t="s">
        <v>24</v>
      </c>
      <c r="C41" s="152"/>
      <c r="D41" s="155"/>
    </row>
    <row r="42" spans="1:4" ht="33.75" customHeight="1">
      <c r="A42" s="24" t="s">
        <v>28</v>
      </c>
      <c r="B42" s="22" t="s">
        <v>22</v>
      </c>
      <c r="C42" s="153"/>
      <c r="D42" s="156"/>
    </row>
    <row r="43" spans="1:4" ht="15.75" customHeight="1">
      <c r="A43" s="167" t="s">
        <v>65</v>
      </c>
      <c r="B43" s="167"/>
      <c r="C43" s="167"/>
      <c r="D43" s="167"/>
    </row>
    <row r="44" spans="1:4" ht="36.75" customHeight="1">
      <c r="A44" s="9" t="s">
        <v>66</v>
      </c>
      <c r="B44" s="22" t="s">
        <v>79</v>
      </c>
      <c r="C44" s="154">
        <v>0.84</v>
      </c>
      <c r="D44" s="152">
        <f>C44*B8*12</f>
        <v>60005.231999999996</v>
      </c>
    </row>
    <row r="45" spans="1:4" ht="14.25" customHeight="1">
      <c r="A45" s="9" t="s">
        <v>67</v>
      </c>
      <c r="B45" s="22" t="s">
        <v>108</v>
      </c>
      <c r="C45" s="154"/>
      <c r="D45" s="168"/>
    </row>
    <row r="46" spans="1:4" ht="14.25" customHeight="1">
      <c r="A46" s="9" t="s">
        <v>68</v>
      </c>
      <c r="B46" s="22" t="s">
        <v>108</v>
      </c>
      <c r="C46" s="154"/>
      <c r="D46" s="168"/>
    </row>
    <row r="47" spans="1:4" ht="24" customHeight="1">
      <c r="A47" s="9" t="s">
        <v>69</v>
      </c>
      <c r="B47" s="22" t="s">
        <v>79</v>
      </c>
      <c r="C47" s="154"/>
      <c r="D47" s="168"/>
    </row>
    <row r="48" spans="1:4" ht="25.5" customHeight="1">
      <c r="A48" s="10" t="s">
        <v>70</v>
      </c>
      <c r="B48" s="22" t="s">
        <v>79</v>
      </c>
      <c r="C48" s="154"/>
      <c r="D48" s="168"/>
    </row>
    <row r="49" spans="1:4" ht="14.25" customHeight="1">
      <c r="A49" s="9" t="s">
        <v>71</v>
      </c>
      <c r="B49" s="22" t="s">
        <v>84</v>
      </c>
      <c r="C49" s="154"/>
      <c r="D49" s="162"/>
    </row>
    <row r="50" spans="1:4" ht="11.25" customHeight="1">
      <c r="A50" s="169" t="s">
        <v>29</v>
      </c>
      <c r="B50" s="169"/>
      <c r="C50" s="169"/>
      <c r="D50" s="169"/>
    </row>
    <row r="51" spans="1:4" ht="35.25" customHeight="1">
      <c r="A51" s="9" t="s">
        <v>30</v>
      </c>
      <c r="B51" s="22" t="s">
        <v>22</v>
      </c>
      <c r="C51" s="154">
        <v>0.61</v>
      </c>
      <c r="D51" s="152">
        <f>C51*12*B8</f>
        <v>43575.227999999996</v>
      </c>
    </row>
    <row r="52" spans="1:4" ht="38.25" customHeight="1">
      <c r="A52" s="9" t="s">
        <v>31</v>
      </c>
      <c r="B52" s="22" t="s">
        <v>22</v>
      </c>
      <c r="C52" s="154"/>
      <c r="D52" s="152"/>
    </row>
    <row r="53" spans="1:4" ht="15" customHeight="1">
      <c r="A53" s="10" t="s">
        <v>32</v>
      </c>
      <c r="B53" s="22" t="s">
        <v>22</v>
      </c>
      <c r="C53" s="154"/>
      <c r="D53" s="152"/>
    </row>
    <row r="54" spans="1:4" ht="12.75" customHeight="1">
      <c r="A54" s="167" t="s">
        <v>33</v>
      </c>
      <c r="B54" s="167"/>
      <c r="C54" s="167"/>
      <c r="D54" s="167"/>
    </row>
    <row r="55" spans="1:4" ht="29.25" customHeight="1">
      <c r="A55" s="9" t="s">
        <v>34</v>
      </c>
      <c r="B55" s="22" t="s">
        <v>77</v>
      </c>
      <c r="C55" s="154">
        <v>2.19</v>
      </c>
      <c r="D55" s="154">
        <f>C55*12*B8</f>
        <v>156442.212</v>
      </c>
    </row>
    <row r="56" spans="1:4" ht="14.25" customHeight="1">
      <c r="A56" s="9" t="s">
        <v>35</v>
      </c>
      <c r="B56" s="22" t="s">
        <v>81</v>
      </c>
      <c r="C56" s="154"/>
      <c r="D56" s="154"/>
    </row>
    <row r="57" spans="1:4" ht="17.25" customHeight="1">
      <c r="A57" s="9" t="s">
        <v>36</v>
      </c>
      <c r="B57" s="22" t="s">
        <v>81</v>
      </c>
      <c r="C57" s="154"/>
      <c r="D57" s="154"/>
    </row>
    <row r="58" spans="1:4" ht="24.75" customHeight="1">
      <c r="A58" s="9" t="s">
        <v>37</v>
      </c>
      <c r="B58" s="22" t="s">
        <v>82</v>
      </c>
      <c r="C58" s="154"/>
      <c r="D58" s="154"/>
    </row>
    <row r="59" spans="1:4" ht="30" customHeight="1">
      <c r="A59" s="9" t="s">
        <v>38</v>
      </c>
      <c r="B59" s="22" t="s">
        <v>82</v>
      </c>
      <c r="C59" s="154"/>
      <c r="D59" s="154"/>
    </row>
    <row r="60" spans="1:4" ht="12.75" customHeight="1">
      <c r="A60" s="85" t="s">
        <v>95</v>
      </c>
      <c r="B60" s="6"/>
      <c r="C60" s="154"/>
      <c r="D60" s="154"/>
    </row>
    <row r="61" spans="1:4" ht="35.25" customHeight="1">
      <c r="A61" s="9" t="s">
        <v>40</v>
      </c>
      <c r="B61" s="22" t="s">
        <v>79</v>
      </c>
      <c r="C61" s="154"/>
      <c r="D61" s="154"/>
    </row>
    <row r="62" spans="1:4" ht="14.25" customHeight="1">
      <c r="A62" s="9" t="s">
        <v>41</v>
      </c>
      <c r="B62" s="22" t="s">
        <v>105</v>
      </c>
      <c r="C62" s="154"/>
      <c r="D62" s="154"/>
    </row>
    <row r="63" spans="1:4" ht="14.25" customHeight="1">
      <c r="A63" s="9" t="s">
        <v>42</v>
      </c>
      <c r="B63" s="23" t="s">
        <v>105</v>
      </c>
      <c r="C63" s="154"/>
      <c r="D63" s="154"/>
    </row>
    <row r="64" spans="1:4" ht="13.5" customHeight="1">
      <c r="A64" s="9" t="s">
        <v>43</v>
      </c>
      <c r="B64" s="23" t="s">
        <v>105</v>
      </c>
      <c r="C64" s="154"/>
      <c r="D64" s="154"/>
    </row>
    <row r="65" spans="1:4" ht="13.5" customHeight="1">
      <c r="A65" s="9" t="s">
        <v>44</v>
      </c>
      <c r="B65" s="21" t="s">
        <v>195</v>
      </c>
      <c r="C65" s="154"/>
      <c r="D65" s="154"/>
    </row>
    <row r="66" spans="1:4" ht="36.75" customHeight="1">
      <c r="A66" s="10" t="s">
        <v>45</v>
      </c>
      <c r="B66" s="22" t="s">
        <v>22</v>
      </c>
      <c r="C66" s="154"/>
      <c r="D66" s="154"/>
    </row>
    <row r="67" spans="1:4" ht="22.5" customHeight="1">
      <c r="A67" s="10"/>
      <c r="B67" s="22"/>
      <c r="C67" s="84"/>
      <c r="D67" s="84"/>
    </row>
    <row r="68" spans="1:4">
      <c r="A68" s="167" t="s">
        <v>46</v>
      </c>
      <c r="B68" s="167"/>
      <c r="C68" s="167"/>
      <c r="D68" s="167"/>
    </row>
    <row r="69" spans="1:4" ht="15.75" customHeight="1">
      <c r="A69" s="9" t="s">
        <v>47</v>
      </c>
      <c r="B69" s="22" t="s">
        <v>83</v>
      </c>
      <c r="C69" s="153">
        <v>1.27</v>
      </c>
      <c r="D69" s="166">
        <f>C69*B8*12+1119.43</f>
        <v>91841.625999999989</v>
      </c>
    </row>
    <row r="70" spans="1:4" ht="12.75" customHeight="1">
      <c r="A70" s="9" t="s">
        <v>48</v>
      </c>
      <c r="B70" s="22" t="s">
        <v>83</v>
      </c>
      <c r="C70" s="168"/>
      <c r="D70" s="155"/>
    </row>
    <row r="71" spans="1:4" ht="26.25" customHeight="1">
      <c r="A71" s="9" t="s">
        <v>49</v>
      </c>
      <c r="B71" s="22" t="s">
        <v>83</v>
      </c>
      <c r="C71" s="168"/>
      <c r="D71" s="155"/>
    </row>
    <row r="72" spans="1:4" ht="16.5" customHeight="1">
      <c r="A72" s="9" t="s">
        <v>50</v>
      </c>
      <c r="B72" s="22" t="s">
        <v>83</v>
      </c>
      <c r="C72" s="168"/>
      <c r="D72" s="155"/>
    </row>
    <row r="73" spans="1:4" ht="39.75" customHeight="1">
      <c r="A73" s="10" t="s">
        <v>51</v>
      </c>
      <c r="B73" s="22" t="s">
        <v>22</v>
      </c>
      <c r="C73" s="168"/>
      <c r="D73" s="155"/>
    </row>
    <row r="74" spans="1:4" ht="16.5" customHeight="1">
      <c r="A74" s="10" t="s">
        <v>52</v>
      </c>
      <c r="B74" s="23" t="s">
        <v>84</v>
      </c>
      <c r="C74" s="162"/>
      <c r="D74" s="156"/>
    </row>
    <row r="75" spans="1:4">
      <c r="A75" s="157" t="s">
        <v>85</v>
      </c>
      <c r="B75" s="158"/>
      <c r="C75" s="158"/>
      <c r="D75" s="159"/>
    </row>
    <row r="76" spans="1:4" ht="26.25" customHeight="1">
      <c r="A76" s="184" t="s">
        <v>96</v>
      </c>
      <c r="B76" s="177" t="s">
        <v>86</v>
      </c>
      <c r="C76" s="152">
        <v>2.41</v>
      </c>
      <c r="D76" s="154">
        <f>C76*B8*12</f>
        <v>172157.86799999999</v>
      </c>
    </row>
    <row r="77" spans="1:4" ht="13.5" customHeight="1">
      <c r="A77" s="185"/>
      <c r="B77" s="177"/>
      <c r="C77" s="152"/>
      <c r="D77" s="154"/>
    </row>
    <row r="78" spans="1:4" ht="15" customHeight="1">
      <c r="A78" s="157" t="s">
        <v>55</v>
      </c>
      <c r="B78" s="158"/>
      <c r="C78" s="158"/>
      <c r="D78" s="159"/>
    </row>
    <row r="79" spans="1:4" ht="16.5" customHeight="1">
      <c r="A79" s="6" t="s">
        <v>90</v>
      </c>
      <c r="B79" s="21" t="s">
        <v>87</v>
      </c>
      <c r="C79" s="170">
        <v>2.14</v>
      </c>
      <c r="D79" s="172">
        <f>140266.68+16886.02</f>
        <v>157152.69999999998</v>
      </c>
    </row>
    <row r="80" spans="1:4">
      <c r="A80" s="6" t="s">
        <v>91</v>
      </c>
      <c r="B80" s="21" t="s">
        <v>87</v>
      </c>
      <c r="C80" s="171"/>
      <c r="D80" s="173"/>
    </row>
    <row r="81" spans="1:4" ht="15" customHeight="1">
      <c r="A81" s="6" t="s">
        <v>92</v>
      </c>
      <c r="B81" s="21" t="s">
        <v>87</v>
      </c>
      <c r="C81" s="169"/>
      <c r="D81" s="174"/>
    </row>
    <row r="82" spans="1:4" ht="38.25" customHeight="1">
      <c r="A82" s="6" t="s">
        <v>143</v>
      </c>
      <c r="B82" s="22" t="s">
        <v>22</v>
      </c>
      <c r="C82" s="82">
        <v>4.3499999999999996</v>
      </c>
      <c r="D82" s="82">
        <f>C82*12*B8</f>
        <v>310741.37999999995</v>
      </c>
    </row>
    <row r="83" spans="1:4">
      <c r="A83" s="85" t="s">
        <v>56</v>
      </c>
      <c r="B83" s="23"/>
      <c r="C83" s="28">
        <f>C82+C79+C76+C69+C55+C51+C44+C37+C33+C26+C23+C22+C21+C20+C19+C18+C17+C16+C13</f>
        <v>21.620179576340938</v>
      </c>
      <c r="D83" s="28">
        <f>D82+D79+D76+D69+D55+D51+D44+D37+D33+D26+D23+D22+D21+D20+D19+D18+D17+D16+D13</f>
        <v>1549834.862</v>
      </c>
    </row>
    <row r="85" spans="1:4">
      <c r="D85" s="40"/>
    </row>
    <row r="86" spans="1:4">
      <c r="D86" s="40"/>
    </row>
    <row r="87" spans="1:4">
      <c r="D87" s="40"/>
    </row>
    <row r="88" spans="1:4">
      <c r="D88" s="40"/>
    </row>
    <row r="89" spans="1:4">
      <c r="D89" s="40"/>
    </row>
  </sheetData>
  <mergeCells count="34">
    <mergeCell ref="A50:D50"/>
    <mergeCell ref="C51:C53"/>
    <mergeCell ref="D51:D53"/>
    <mergeCell ref="C44:C49"/>
    <mergeCell ref="D44:D49"/>
    <mergeCell ref="A43:D43"/>
    <mergeCell ref="A12:D12"/>
    <mergeCell ref="A24:D24"/>
    <mergeCell ref="C26:C31"/>
    <mergeCell ref="D26:D31"/>
    <mergeCell ref="A32:D32"/>
    <mergeCell ref="D13:D14"/>
    <mergeCell ref="B13:B14"/>
    <mergeCell ref="C13:C14"/>
    <mergeCell ref="C33:C34"/>
    <mergeCell ref="D33:D34"/>
    <mergeCell ref="A35:D35"/>
    <mergeCell ref="A36:D36"/>
    <mergeCell ref="C37:C42"/>
    <mergeCell ref="D37:D42"/>
    <mergeCell ref="A54:D54"/>
    <mergeCell ref="A78:D78"/>
    <mergeCell ref="C79:C81"/>
    <mergeCell ref="D79:D81"/>
    <mergeCell ref="A68:D68"/>
    <mergeCell ref="A75:D75"/>
    <mergeCell ref="A76:A77"/>
    <mergeCell ref="B76:B77"/>
    <mergeCell ref="C76:C77"/>
    <mergeCell ref="D76:D77"/>
    <mergeCell ref="C69:C74"/>
    <mergeCell ref="D69:D74"/>
    <mergeCell ref="C55:C66"/>
    <mergeCell ref="D55:D6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91"/>
  <sheetViews>
    <sheetView topLeftCell="A34" workbookViewId="0">
      <selection activeCell="C84" sqref="C84:D86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  <col min="5" max="5" width="9.140625" hidden="1" customWidth="1"/>
  </cols>
  <sheetData>
    <row r="1" spans="1:5">
      <c r="A1" s="1" t="s">
        <v>0</v>
      </c>
      <c r="B1" s="2"/>
      <c r="C1" s="2"/>
      <c r="D1" s="2" t="s">
        <v>64</v>
      </c>
    </row>
    <row r="2" spans="1:5">
      <c r="A2" s="1" t="s">
        <v>191</v>
      </c>
      <c r="B2" s="2"/>
      <c r="C2" s="2"/>
      <c r="D2" s="2"/>
    </row>
    <row r="3" spans="1:5">
      <c r="A3" s="1" t="s">
        <v>258</v>
      </c>
      <c r="B3" s="2"/>
      <c r="C3" s="2"/>
      <c r="D3" s="2"/>
    </row>
    <row r="4" spans="1:5">
      <c r="A4" s="25" t="s">
        <v>58</v>
      </c>
      <c r="B4" s="2">
        <v>1978</v>
      </c>
      <c r="C4" s="2"/>
      <c r="D4" s="2"/>
    </row>
    <row r="5" spans="1:5">
      <c r="A5" s="25" t="s">
        <v>59</v>
      </c>
      <c r="B5" s="2">
        <v>5</v>
      </c>
      <c r="C5" s="2"/>
      <c r="D5" s="2"/>
    </row>
    <row r="6" spans="1:5">
      <c r="A6" s="25" t="s">
        <v>60</v>
      </c>
      <c r="B6" s="2">
        <v>4</v>
      </c>
      <c r="C6" s="2"/>
      <c r="D6" s="2"/>
    </row>
    <row r="7" spans="1:5">
      <c r="A7" s="25" t="s">
        <v>61</v>
      </c>
      <c r="B7" s="2">
        <v>60</v>
      </c>
      <c r="C7" s="2"/>
      <c r="D7" s="2"/>
    </row>
    <row r="8" spans="1:5">
      <c r="A8" s="25" t="s">
        <v>72</v>
      </c>
      <c r="B8" s="2">
        <v>3122.4</v>
      </c>
      <c r="C8" s="2"/>
      <c r="D8" s="46"/>
      <c r="E8">
        <f>B8+B10</f>
        <v>3176.1</v>
      </c>
    </row>
    <row r="9" spans="1:5">
      <c r="A9" s="25" t="s">
        <v>62</v>
      </c>
      <c r="B9" s="2">
        <v>223.8</v>
      </c>
      <c r="C9" s="2"/>
      <c r="D9" s="2"/>
    </row>
    <row r="10" spans="1:5">
      <c r="A10" s="25" t="s">
        <v>392</v>
      </c>
      <c r="B10" s="2">
        <v>53.7</v>
      </c>
      <c r="C10" s="2"/>
      <c r="D10" s="2"/>
      <c r="E10">
        <f>B8+B10</f>
        <v>3176.1</v>
      </c>
    </row>
    <row r="11" spans="1:5">
      <c r="A11" s="25" t="s">
        <v>73</v>
      </c>
      <c r="B11" s="46">
        <v>687.7</v>
      </c>
      <c r="C11" s="2"/>
      <c r="D11" s="2"/>
    </row>
    <row r="12" spans="1:5" ht="36.75">
      <c r="A12" s="80" t="s">
        <v>1</v>
      </c>
      <c r="B12" s="80" t="s">
        <v>2</v>
      </c>
      <c r="C12" s="80" t="s">
        <v>3</v>
      </c>
      <c r="D12" s="80" t="s">
        <v>4</v>
      </c>
    </row>
    <row r="13" spans="1:5">
      <c r="A13" s="178" t="s">
        <v>5</v>
      </c>
      <c r="B13" s="158"/>
      <c r="C13" s="158"/>
      <c r="D13" s="159"/>
    </row>
    <row r="14" spans="1:5" ht="88.5" customHeight="1">
      <c r="A14" s="104" t="s">
        <v>6</v>
      </c>
      <c r="B14" s="160" t="s">
        <v>8</v>
      </c>
      <c r="C14" s="153">
        <v>1.04</v>
      </c>
      <c r="D14" s="163">
        <f>C14*12*E10</f>
        <v>39637.728000000003</v>
      </c>
    </row>
    <row r="15" spans="1:5" ht="75.75" customHeight="1">
      <c r="A15" s="103" t="s">
        <v>89</v>
      </c>
      <c r="B15" s="161"/>
      <c r="C15" s="162"/>
      <c r="D15" s="164"/>
      <c r="E15" s="118"/>
    </row>
    <row r="16" spans="1:5">
      <c r="A16" s="103" t="s">
        <v>9</v>
      </c>
      <c r="B16" s="80"/>
      <c r="C16" s="26"/>
      <c r="D16" s="30"/>
    </row>
    <row r="17" spans="1:4">
      <c r="A17" s="6" t="s">
        <v>314</v>
      </c>
      <c r="B17" s="123" t="s">
        <v>24</v>
      </c>
      <c r="C17" s="44">
        <v>2.2599999999999998</v>
      </c>
      <c r="D17" s="30">
        <f>C17*12*E10</f>
        <v>86135.831999999995</v>
      </c>
    </row>
    <row r="18" spans="1:4">
      <c r="A18" s="6" t="s">
        <v>315</v>
      </c>
      <c r="B18" s="80" t="s">
        <v>105</v>
      </c>
      <c r="C18" s="44">
        <v>0.4</v>
      </c>
      <c r="D18" s="30">
        <f>C18*12*E10</f>
        <v>15245.280000000002</v>
      </c>
    </row>
    <row r="19" spans="1:4">
      <c r="A19" s="6" t="s">
        <v>317</v>
      </c>
      <c r="B19" s="123" t="s">
        <v>117</v>
      </c>
      <c r="C19" s="44">
        <v>0.33</v>
      </c>
      <c r="D19" s="30">
        <f>C19*12*E10</f>
        <v>12577.356</v>
      </c>
    </row>
    <row r="20" spans="1:4">
      <c r="A20" s="6" t="s">
        <v>316</v>
      </c>
      <c r="B20" s="123" t="s">
        <v>80</v>
      </c>
      <c r="C20" s="44">
        <v>0.43</v>
      </c>
      <c r="D20" s="30">
        <f>C20*12*E10</f>
        <v>16388.675999999999</v>
      </c>
    </row>
    <row r="21" spans="1:4">
      <c r="A21" s="165" t="s">
        <v>10</v>
      </c>
      <c r="B21" s="165"/>
      <c r="C21" s="165"/>
      <c r="D21" s="165"/>
    </row>
    <row r="22" spans="1:4" ht="13.5" customHeight="1">
      <c r="A22" s="39" t="s">
        <v>97</v>
      </c>
      <c r="B22" s="81"/>
      <c r="C22" s="81"/>
      <c r="D22" s="81"/>
    </row>
    <row r="23" spans="1:4" ht="13.5" customHeight="1">
      <c r="A23" s="6" t="s">
        <v>11</v>
      </c>
      <c r="B23" s="80" t="s">
        <v>75</v>
      </c>
      <c r="C23" s="152">
        <v>2.16</v>
      </c>
      <c r="D23" s="166">
        <f>C23*12*E10</f>
        <v>82324.512000000002</v>
      </c>
    </row>
    <row r="24" spans="1:4" ht="12.75" customHeight="1">
      <c r="A24" s="6" t="s">
        <v>12</v>
      </c>
      <c r="B24" s="80" t="s">
        <v>75</v>
      </c>
      <c r="C24" s="152"/>
      <c r="D24" s="155"/>
    </row>
    <row r="25" spans="1:4" ht="14.25" customHeight="1">
      <c r="A25" s="6" t="s">
        <v>13</v>
      </c>
      <c r="B25" s="80" t="s">
        <v>75</v>
      </c>
      <c r="C25" s="152"/>
      <c r="D25" s="155"/>
    </row>
    <row r="26" spans="1:4" ht="13.5" customHeight="1">
      <c r="A26" s="6" t="s">
        <v>14</v>
      </c>
      <c r="B26" s="80" t="s">
        <v>76</v>
      </c>
      <c r="C26" s="152"/>
      <c r="D26" s="155"/>
    </row>
    <row r="27" spans="1:4" ht="12.75" customHeight="1">
      <c r="A27" s="39" t="s">
        <v>93</v>
      </c>
      <c r="B27" s="80"/>
      <c r="C27" s="152"/>
      <c r="D27" s="155"/>
    </row>
    <row r="28" spans="1:4" ht="30" customHeight="1">
      <c r="A28" s="6" t="s">
        <v>15</v>
      </c>
      <c r="B28" s="80" t="s">
        <v>94</v>
      </c>
      <c r="C28" s="152"/>
      <c r="D28" s="156"/>
    </row>
    <row r="29" spans="1:4" ht="12.75" customHeight="1">
      <c r="A29" s="157" t="s">
        <v>16</v>
      </c>
      <c r="B29" s="158"/>
      <c r="C29" s="158"/>
      <c r="D29" s="159"/>
    </row>
    <row r="30" spans="1:4" ht="12" customHeight="1">
      <c r="A30" s="7" t="s">
        <v>17</v>
      </c>
      <c r="B30" s="21" t="s">
        <v>78</v>
      </c>
      <c r="C30" s="152">
        <v>0.2</v>
      </c>
      <c r="D30" s="167">
        <f>C30*12*E10</f>
        <v>7622.6400000000012</v>
      </c>
    </row>
    <row r="31" spans="1:4" ht="12" customHeight="1">
      <c r="A31" s="7" t="s">
        <v>18</v>
      </c>
      <c r="B31" s="21" t="s">
        <v>77</v>
      </c>
      <c r="C31" s="152"/>
      <c r="D31" s="167"/>
    </row>
    <row r="32" spans="1:4" ht="13.5" customHeight="1">
      <c r="A32" s="157" t="s">
        <v>19</v>
      </c>
      <c r="B32" s="158"/>
      <c r="C32" s="158"/>
      <c r="D32" s="159"/>
    </row>
    <row r="33" spans="1:4">
      <c r="A33" s="167" t="s">
        <v>20</v>
      </c>
      <c r="B33" s="167"/>
      <c r="C33" s="167"/>
      <c r="D33" s="167"/>
    </row>
    <row r="34" spans="1:4" ht="37.5" customHeight="1">
      <c r="A34" s="8" t="s">
        <v>21</v>
      </c>
      <c r="B34" s="22" t="s">
        <v>79</v>
      </c>
      <c r="C34" s="152">
        <v>0.52</v>
      </c>
      <c r="D34" s="154">
        <f>C34*12*E10</f>
        <v>19818.864000000001</v>
      </c>
    </row>
    <row r="35" spans="1:4" ht="15" customHeight="1">
      <c r="A35" s="9" t="s">
        <v>23</v>
      </c>
      <c r="B35" s="23" t="s">
        <v>108</v>
      </c>
      <c r="C35" s="152"/>
      <c r="D35" s="155"/>
    </row>
    <row r="36" spans="1:4" ht="13.5" customHeight="1">
      <c r="A36" s="9" t="s">
        <v>25</v>
      </c>
      <c r="B36" s="23" t="s">
        <v>108</v>
      </c>
      <c r="C36" s="152"/>
      <c r="D36" s="155"/>
    </row>
    <row r="37" spans="1:4" ht="36" customHeight="1">
      <c r="A37" s="9" t="s">
        <v>26</v>
      </c>
      <c r="B37" s="22" t="s">
        <v>22</v>
      </c>
      <c r="C37" s="152"/>
      <c r="D37" s="155"/>
    </row>
    <row r="38" spans="1:4" ht="14.25" customHeight="1">
      <c r="A38" s="9" t="s">
        <v>27</v>
      </c>
      <c r="B38" s="22" t="s">
        <v>24</v>
      </c>
      <c r="C38" s="152"/>
      <c r="D38" s="155"/>
    </row>
    <row r="39" spans="1:4" ht="33.75" customHeight="1">
      <c r="A39" s="24" t="s">
        <v>28</v>
      </c>
      <c r="B39" s="22" t="s">
        <v>22</v>
      </c>
      <c r="C39" s="153"/>
      <c r="D39" s="156"/>
    </row>
    <row r="40" spans="1:4" ht="15.75" customHeight="1">
      <c r="A40" s="167" t="s">
        <v>65</v>
      </c>
      <c r="B40" s="167"/>
      <c r="C40" s="167"/>
      <c r="D40" s="167"/>
    </row>
    <row r="41" spans="1:4" ht="36.75" customHeight="1">
      <c r="A41" s="9" t="s">
        <v>66</v>
      </c>
      <c r="B41" s="22" t="s">
        <v>79</v>
      </c>
      <c r="C41" s="154">
        <v>0.84</v>
      </c>
      <c r="D41" s="152">
        <f>C41*12*E10</f>
        <v>32015.088</v>
      </c>
    </row>
    <row r="42" spans="1:4" ht="14.25" customHeight="1">
      <c r="A42" s="9" t="s">
        <v>67</v>
      </c>
      <c r="B42" s="22" t="s">
        <v>108</v>
      </c>
      <c r="C42" s="154"/>
      <c r="D42" s="168"/>
    </row>
    <row r="43" spans="1:4" ht="14.25" customHeight="1">
      <c r="A43" s="9" t="s">
        <v>68</v>
      </c>
      <c r="B43" s="22" t="s">
        <v>108</v>
      </c>
      <c r="C43" s="154"/>
      <c r="D43" s="168"/>
    </row>
    <row r="44" spans="1:4" ht="24" customHeight="1">
      <c r="A44" s="9" t="s">
        <v>69</v>
      </c>
      <c r="B44" s="22" t="s">
        <v>79</v>
      </c>
      <c r="C44" s="154"/>
      <c r="D44" s="168"/>
    </row>
    <row r="45" spans="1:4" ht="25.5" customHeight="1">
      <c r="A45" s="10" t="s">
        <v>70</v>
      </c>
      <c r="B45" s="22" t="s">
        <v>79</v>
      </c>
      <c r="C45" s="154"/>
      <c r="D45" s="168"/>
    </row>
    <row r="46" spans="1:4" ht="14.25" customHeight="1">
      <c r="A46" s="9" t="s">
        <v>71</v>
      </c>
      <c r="B46" s="22" t="s">
        <v>84</v>
      </c>
      <c r="C46" s="154"/>
      <c r="D46" s="162"/>
    </row>
    <row r="47" spans="1:4" ht="11.25" customHeight="1">
      <c r="A47" s="169" t="s">
        <v>29</v>
      </c>
      <c r="B47" s="169"/>
      <c r="C47" s="169"/>
      <c r="D47" s="169"/>
    </row>
    <row r="48" spans="1:4" ht="35.25" customHeight="1">
      <c r="A48" s="9" t="s">
        <v>30</v>
      </c>
      <c r="B48" s="22" t="s">
        <v>22</v>
      </c>
      <c r="C48" s="154">
        <v>0.61</v>
      </c>
      <c r="D48" s="152">
        <f>C48*12*E10</f>
        <v>23249.052</v>
      </c>
    </row>
    <row r="49" spans="1:4" ht="38.25" customHeight="1">
      <c r="A49" s="9" t="s">
        <v>31</v>
      </c>
      <c r="B49" s="22" t="s">
        <v>22</v>
      </c>
      <c r="C49" s="154"/>
      <c r="D49" s="152"/>
    </row>
    <row r="50" spans="1:4" ht="15" customHeight="1">
      <c r="A50" s="10" t="s">
        <v>32</v>
      </c>
      <c r="B50" s="22" t="s">
        <v>22</v>
      </c>
      <c r="C50" s="154"/>
      <c r="D50" s="152"/>
    </row>
    <row r="51" spans="1:4" ht="12.75" customHeight="1">
      <c r="A51" s="167" t="s">
        <v>33</v>
      </c>
      <c r="B51" s="167"/>
      <c r="C51" s="167"/>
      <c r="D51" s="167"/>
    </row>
    <row r="52" spans="1:4" ht="29.25" customHeight="1">
      <c r="A52" s="9" t="s">
        <v>34</v>
      </c>
      <c r="B52" s="22" t="s">
        <v>77</v>
      </c>
      <c r="C52" s="154">
        <v>2.16</v>
      </c>
      <c r="D52" s="154">
        <f>C52*12*E10</f>
        <v>82324.512000000002</v>
      </c>
    </row>
    <row r="53" spans="1:4" ht="14.25" customHeight="1">
      <c r="A53" s="9" t="s">
        <v>35</v>
      </c>
      <c r="B53" s="22" t="s">
        <v>81</v>
      </c>
      <c r="C53" s="154"/>
      <c r="D53" s="154"/>
    </row>
    <row r="54" spans="1:4" ht="17.25" customHeight="1">
      <c r="A54" s="9" t="s">
        <v>36</v>
      </c>
      <c r="B54" s="22" t="s">
        <v>81</v>
      </c>
      <c r="C54" s="154"/>
      <c r="D54" s="154"/>
    </row>
    <row r="55" spans="1:4" ht="24.75" customHeight="1">
      <c r="A55" s="9" t="s">
        <v>37</v>
      </c>
      <c r="B55" s="22" t="s">
        <v>82</v>
      </c>
      <c r="C55" s="154"/>
      <c r="D55" s="154"/>
    </row>
    <row r="56" spans="1:4" ht="30" customHeight="1">
      <c r="A56" s="9" t="s">
        <v>38</v>
      </c>
      <c r="B56" s="22" t="s">
        <v>82</v>
      </c>
      <c r="C56" s="154"/>
      <c r="D56" s="154"/>
    </row>
    <row r="57" spans="1:4" ht="12.75" customHeight="1">
      <c r="A57" s="81" t="s">
        <v>95</v>
      </c>
      <c r="B57" s="6"/>
      <c r="C57" s="154"/>
      <c r="D57" s="154"/>
    </row>
    <row r="58" spans="1:4" ht="35.25" customHeight="1">
      <c r="A58" s="9" t="s">
        <v>40</v>
      </c>
      <c r="B58" s="22" t="s">
        <v>79</v>
      </c>
      <c r="C58" s="154"/>
      <c r="D58" s="154"/>
    </row>
    <row r="59" spans="1:4" ht="14.25" customHeight="1">
      <c r="A59" s="9" t="s">
        <v>41</v>
      </c>
      <c r="B59" s="22" t="s">
        <v>105</v>
      </c>
      <c r="C59" s="154"/>
      <c r="D59" s="154"/>
    </row>
    <row r="60" spans="1:4" ht="14.25" customHeight="1">
      <c r="A60" s="9" t="s">
        <v>42</v>
      </c>
      <c r="B60" s="23" t="s">
        <v>105</v>
      </c>
      <c r="C60" s="154"/>
      <c r="D60" s="154"/>
    </row>
    <row r="61" spans="1:4" ht="13.5" customHeight="1">
      <c r="A61" s="9" t="s">
        <v>43</v>
      </c>
      <c r="B61" s="23" t="s">
        <v>105</v>
      </c>
      <c r="C61" s="154"/>
      <c r="D61" s="154"/>
    </row>
    <row r="62" spans="1:4" ht="13.5" customHeight="1">
      <c r="A62" s="9" t="s">
        <v>44</v>
      </c>
      <c r="B62" s="21" t="s">
        <v>193</v>
      </c>
      <c r="C62" s="154"/>
      <c r="D62" s="154"/>
    </row>
    <row r="63" spans="1:4" ht="36.75" customHeight="1">
      <c r="A63" s="10" t="s">
        <v>45</v>
      </c>
      <c r="B63" s="22" t="s">
        <v>22</v>
      </c>
      <c r="C63" s="154"/>
      <c r="D63" s="154"/>
    </row>
    <row r="64" spans="1:4" ht="22.5" customHeight="1">
      <c r="A64" s="10"/>
      <c r="B64" s="22"/>
      <c r="C64" s="79"/>
      <c r="D64" s="79"/>
    </row>
    <row r="65" spans="1:4">
      <c r="A65" s="167" t="s">
        <v>46</v>
      </c>
      <c r="B65" s="167"/>
      <c r="C65" s="167"/>
      <c r="D65" s="167"/>
    </row>
    <row r="66" spans="1:4" ht="15.75" customHeight="1">
      <c r="A66" s="9" t="s">
        <v>47</v>
      </c>
      <c r="B66" s="22" t="s">
        <v>83</v>
      </c>
      <c r="C66" s="153">
        <v>1.77</v>
      </c>
      <c r="D66" s="179">
        <f>C66*12*E10+1622.94-15947.33</f>
        <v>53135.974000000002</v>
      </c>
    </row>
    <row r="67" spans="1:4" ht="12.75" customHeight="1">
      <c r="A67" s="9" t="s">
        <v>48</v>
      </c>
      <c r="B67" s="22" t="s">
        <v>83</v>
      </c>
      <c r="C67" s="168"/>
      <c r="D67" s="180"/>
    </row>
    <row r="68" spans="1:4" ht="27.75" customHeight="1">
      <c r="A68" s="9" t="s">
        <v>49</v>
      </c>
      <c r="B68" s="22" t="s">
        <v>83</v>
      </c>
      <c r="C68" s="168"/>
      <c r="D68" s="180"/>
    </row>
    <row r="69" spans="1:4" ht="16.5" customHeight="1">
      <c r="A69" s="9" t="s">
        <v>50</v>
      </c>
      <c r="B69" s="22" t="s">
        <v>83</v>
      </c>
      <c r="C69" s="168"/>
      <c r="D69" s="180"/>
    </row>
    <row r="70" spans="1:4" ht="35.25" customHeight="1">
      <c r="A70" s="10" t="s">
        <v>51</v>
      </c>
      <c r="B70" s="22" t="s">
        <v>22</v>
      </c>
      <c r="C70" s="168"/>
      <c r="D70" s="180"/>
    </row>
    <row r="71" spans="1:4" ht="16.5" customHeight="1">
      <c r="A71" s="10" t="s">
        <v>52</v>
      </c>
      <c r="B71" s="23" t="s">
        <v>84</v>
      </c>
      <c r="C71" s="162"/>
      <c r="D71" s="181"/>
    </row>
    <row r="72" spans="1:4">
      <c r="A72" s="157" t="s">
        <v>85</v>
      </c>
      <c r="B72" s="158"/>
      <c r="C72" s="158"/>
      <c r="D72" s="159"/>
    </row>
    <row r="73" spans="1:4" ht="26.25" customHeight="1">
      <c r="A73" s="184" t="s">
        <v>96</v>
      </c>
      <c r="B73" s="177" t="s">
        <v>86</v>
      </c>
      <c r="C73" s="152">
        <v>2.41</v>
      </c>
      <c r="D73" s="154">
        <f>C73*12*E10</f>
        <v>91852.812000000005</v>
      </c>
    </row>
    <row r="74" spans="1:4" ht="13.5" customHeight="1">
      <c r="A74" s="185"/>
      <c r="B74" s="177"/>
      <c r="C74" s="152"/>
      <c r="D74" s="154"/>
    </row>
    <row r="75" spans="1:4" ht="15" customHeight="1">
      <c r="A75" s="157" t="s">
        <v>55</v>
      </c>
      <c r="B75" s="158"/>
      <c r="C75" s="158"/>
      <c r="D75" s="159"/>
    </row>
    <row r="76" spans="1:4" ht="16.5" customHeight="1">
      <c r="A76" s="6" t="s">
        <v>90</v>
      </c>
      <c r="B76" s="21" t="s">
        <v>87</v>
      </c>
      <c r="C76" s="170">
        <v>2.14</v>
      </c>
      <c r="D76" s="172">
        <f>C76*12*E10</f>
        <v>81562.247999999992</v>
      </c>
    </row>
    <row r="77" spans="1:4">
      <c r="A77" s="6" t="s">
        <v>91</v>
      </c>
      <c r="B77" s="21" t="s">
        <v>87</v>
      </c>
      <c r="C77" s="171"/>
      <c r="D77" s="173"/>
    </row>
    <row r="78" spans="1:4" ht="15" customHeight="1">
      <c r="A78" s="6" t="s">
        <v>92</v>
      </c>
      <c r="B78" s="21" t="s">
        <v>87</v>
      </c>
      <c r="C78" s="169"/>
      <c r="D78" s="174"/>
    </row>
    <row r="79" spans="1:4" ht="38.25" customHeight="1">
      <c r="A79" s="6" t="s">
        <v>143</v>
      </c>
      <c r="B79" s="22" t="s">
        <v>22</v>
      </c>
      <c r="C79" s="78">
        <v>4.3499999999999996</v>
      </c>
      <c r="D79" s="78">
        <f>C79*12*E10</f>
        <v>165792.41999999998</v>
      </c>
    </row>
    <row r="80" spans="1:4" ht="25.5" customHeight="1">
      <c r="A80" s="6" t="s">
        <v>192</v>
      </c>
      <c r="B80" s="22"/>
      <c r="C80" s="78"/>
      <c r="D80" s="78">
        <f>-41.9*12*15.13</f>
        <v>-7607.3639999999996</v>
      </c>
    </row>
    <row r="81" spans="1:4">
      <c r="A81" s="81" t="s">
        <v>56</v>
      </c>
      <c r="B81" s="23"/>
      <c r="C81" s="28">
        <f>C79+C76+C73+C66+C52+C48+C41+C34+C30+C23+C20+C19+C18+C17+C14</f>
        <v>21.61999999999999</v>
      </c>
      <c r="D81" s="28">
        <f>D79+D76+D73+D66+D52+D48+D41+D34+D30+D23+D20+D19+D18+D17+D14+D80</f>
        <v>802075.63000000012</v>
      </c>
    </row>
    <row r="82" spans="1:4">
      <c r="C82" s="40"/>
    </row>
    <row r="83" spans="1:4">
      <c r="D83" s="40"/>
    </row>
    <row r="84" spans="1:4">
      <c r="D84" s="40"/>
    </row>
    <row r="85" spans="1:4">
      <c r="D85" s="40"/>
    </row>
    <row r="86" spans="1:4">
      <c r="D86" s="40"/>
    </row>
    <row r="89" spans="1:4">
      <c r="D89" s="40"/>
    </row>
    <row r="91" spans="1:4">
      <c r="D91" s="40"/>
    </row>
  </sheetData>
  <mergeCells count="34">
    <mergeCell ref="A13:D13"/>
    <mergeCell ref="A21:D21"/>
    <mergeCell ref="C23:C28"/>
    <mergeCell ref="D23:D28"/>
    <mergeCell ref="A29:D29"/>
    <mergeCell ref="B14:B15"/>
    <mergeCell ref="C14:C15"/>
    <mergeCell ref="A47:D47"/>
    <mergeCell ref="C48:C50"/>
    <mergeCell ref="D48:D50"/>
    <mergeCell ref="A51:D51"/>
    <mergeCell ref="D14:D15"/>
    <mergeCell ref="C41:C46"/>
    <mergeCell ref="D41:D46"/>
    <mergeCell ref="C30:C31"/>
    <mergeCell ref="D30:D31"/>
    <mergeCell ref="A32:D32"/>
    <mergeCell ref="A33:D33"/>
    <mergeCell ref="C34:C39"/>
    <mergeCell ref="D34:D39"/>
    <mergeCell ref="A40:D40"/>
    <mergeCell ref="C52:C63"/>
    <mergeCell ref="D52:D63"/>
    <mergeCell ref="A75:D75"/>
    <mergeCell ref="C76:C78"/>
    <mergeCell ref="D76:D78"/>
    <mergeCell ref="A65:D65"/>
    <mergeCell ref="A72:D72"/>
    <mergeCell ref="A73:A74"/>
    <mergeCell ref="B73:B74"/>
    <mergeCell ref="C73:C74"/>
    <mergeCell ref="D73:D74"/>
    <mergeCell ref="C66:C71"/>
    <mergeCell ref="D66:D7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E82"/>
  <sheetViews>
    <sheetView topLeftCell="A43" workbookViewId="0">
      <selection activeCell="D78" sqref="D78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5">
      <c r="A1" s="1" t="s">
        <v>0</v>
      </c>
      <c r="B1" s="2"/>
      <c r="C1" s="2"/>
      <c r="D1" s="2" t="s">
        <v>64</v>
      </c>
    </row>
    <row r="2" spans="1:5">
      <c r="A2" s="1" t="s">
        <v>190</v>
      </c>
      <c r="B2" s="2"/>
      <c r="C2" s="2"/>
      <c r="D2" s="2"/>
    </row>
    <row r="3" spans="1:5">
      <c r="A3" s="1" t="s">
        <v>255</v>
      </c>
      <c r="B3" s="2"/>
      <c r="C3" s="2"/>
      <c r="D3" s="2"/>
    </row>
    <row r="4" spans="1:5">
      <c r="A4" s="25" t="s">
        <v>58</v>
      </c>
      <c r="B4" s="2">
        <v>1988</v>
      </c>
      <c r="C4" s="2"/>
      <c r="D4" s="2"/>
    </row>
    <row r="5" spans="1:5">
      <c r="A5" s="25" t="s">
        <v>59</v>
      </c>
      <c r="B5" s="2">
        <v>5</v>
      </c>
      <c r="C5" s="2"/>
      <c r="D5" s="2"/>
    </row>
    <row r="6" spans="1:5">
      <c r="A6" s="25" t="s">
        <v>60</v>
      </c>
      <c r="B6" s="2">
        <v>4</v>
      </c>
      <c r="C6" s="2"/>
      <c r="D6" s="2"/>
    </row>
    <row r="7" spans="1:5">
      <c r="A7" s="25" t="s">
        <v>61</v>
      </c>
      <c r="B7" s="2">
        <v>60</v>
      </c>
      <c r="C7" s="2"/>
      <c r="D7" s="2"/>
    </row>
    <row r="8" spans="1:5">
      <c r="A8" s="25" t="s">
        <v>72</v>
      </c>
      <c r="B8" s="2">
        <v>2708.6</v>
      </c>
      <c r="C8" s="2"/>
      <c r="D8" s="46"/>
    </row>
    <row r="9" spans="1:5">
      <c r="A9" s="25" t="s">
        <v>62</v>
      </c>
      <c r="B9" s="2">
        <v>283.89999999999998</v>
      </c>
      <c r="C9" s="2"/>
      <c r="D9" s="2"/>
    </row>
    <row r="10" spans="1:5">
      <c r="A10" s="25" t="s">
        <v>73</v>
      </c>
      <c r="B10" s="46">
        <v>650</v>
      </c>
      <c r="C10" s="2"/>
      <c r="D10" s="2"/>
    </row>
    <row r="11" spans="1:5" ht="36.75">
      <c r="A11" s="71" t="s">
        <v>1</v>
      </c>
      <c r="B11" s="71" t="s">
        <v>2</v>
      </c>
      <c r="C11" s="71" t="s">
        <v>3</v>
      </c>
      <c r="D11" s="71" t="s">
        <v>4</v>
      </c>
    </row>
    <row r="12" spans="1:5">
      <c r="A12" s="178" t="s">
        <v>5</v>
      </c>
      <c r="B12" s="158"/>
      <c r="C12" s="158"/>
      <c r="D12" s="159"/>
    </row>
    <row r="13" spans="1:5" ht="88.5" customHeight="1">
      <c r="A13" s="104" t="s">
        <v>6</v>
      </c>
      <c r="B13" s="182" t="s">
        <v>8</v>
      </c>
      <c r="C13" s="153">
        <v>2.0499999999999998</v>
      </c>
      <c r="D13" s="163">
        <f>C13*12*B8</f>
        <v>66631.56</v>
      </c>
    </row>
    <row r="14" spans="1:5" ht="75.75" customHeight="1">
      <c r="A14" s="103" t="s">
        <v>89</v>
      </c>
      <c r="B14" s="183"/>
      <c r="C14" s="162"/>
      <c r="D14" s="164"/>
      <c r="E14" s="116"/>
    </row>
    <row r="15" spans="1:5">
      <c r="A15" s="103" t="s">
        <v>9</v>
      </c>
      <c r="B15" s="71"/>
      <c r="C15" s="26"/>
      <c r="D15" s="30"/>
    </row>
    <row r="16" spans="1:5">
      <c r="A16" s="6" t="s">
        <v>256</v>
      </c>
      <c r="B16" s="71" t="s">
        <v>121</v>
      </c>
      <c r="C16" s="44">
        <f>D16/12/B8</f>
        <v>1.4767776711216127</v>
      </c>
      <c r="D16" s="30">
        <f>32*1500</f>
        <v>48000</v>
      </c>
    </row>
    <row r="17" spans="1:4">
      <c r="A17" s="6" t="s">
        <v>257</v>
      </c>
      <c r="B17" s="71" t="s">
        <v>24</v>
      </c>
      <c r="C17" s="44">
        <f>D17/12/B8</f>
        <v>0.83068744000590711</v>
      </c>
      <c r="D17" s="30">
        <f>450*60</f>
        <v>27000</v>
      </c>
    </row>
    <row r="18" spans="1:4">
      <c r="A18" s="165" t="s">
        <v>10</v>
      </c>
      <c r="B18" s="165"/>
      <c r="C18" s="165"/>
      <c r="D18" s="165"/>
    </row>
    <row r="19" spans="1:4" ht="13.5" customHeight="1">
      <c r="A19" s="39" t="s">
        <v>97</v>
      </c>
      <c r="B19" s="72"/>
      <c r="C19" s="72"/>
      <c r="D19" s="72"/>
    </row>
    <row r="20" spans="1:4" ht="13.5" customHeight="1">
      <c r="A20" s="6" t="s">
        <v>11</v>
      </c>
      <c r="B20" s="71" t="s">
        <v>75</v>
      </c>
      <c r="C20" s="152">
        <v>2.16</v>
      </c>
      <c r="D20" s="166">
        <f>C20*B8*12</f>
        <v>70206.911999999997</v>
      </c>
    </row>
    <row r="21" spans="1:4" ht="12.75" customHeight="1">
      <c r="A21" s="6" t="s">
        <v>12</v>
      </c>
      <c r="B21" s="71" t="s">
        <v>75</v>
      </c>
      <c r="C21" s="152"/>
      <c r="D21" s="155"/>
    </row>
    <row r="22" spans="1:4" ht="14.25" customHeight="1">
      <c r="A22" s="6" t="s">
        <v>13</v>
      </c>
      <c r="B22" s="71" t="s">
        <v>75</v>
      </c>
      <c r="C22" s="152"/>
      <c r="D22" s="155"/>
    </row>
    <row r="23" spans="1:4" ht="13.5" customHeight="1">
      <c r="A23" s="6" t="s">
        <v>14</v>
      </c>
      <c r="B23" s="71" t="s">
        <v>76</v>
      </c>
      <c r="C23" s="152"/>
      <c r="D23" s="155"/>
    </row>
    <row r="24" spans="1:4" ht="12.75" customHeight="1">
      <c r="A24" s="39" t="s">
        <v>93</v>
      </c>
      <c r="B24" s="71"/>
      <c r="C24" s="152"/>
      <c r="D24" s="155"/>
    </row>
    <row r="25" spans="1:4" ht="30" customHeight="1">
      <c r="A25" s="6" t="s">
        <v>15</v>
      </c>
      <c r="B25" s="71" t="s">
        <v>94</v>
      </c>
      <c r="C25" s="152"/>
      <c r="D25" s="156"/>
    </row>
    <row r="26" spans="1:4" ht="12.75" customHeight="1">
      <c r="A26" s="157" t="s">
        <v>16</v>
      </c>
      <c r="B26" s="158"/>
      <c r="C26" s="158"/>
      <c r="D26" s="159"/>
    </row>
    <row r="27" spans="1:4" ht="12" customHeight="1">
      <c r="A27" s="7" t="s">
        <v>17</v>
      </c>
      <c r="B27" s="21" t="s">
        <v>78</v>
      </c>
      <c r="C27" s="152">
        <v>0.2</v>
      </c>
      <c r="D27" s="167">
        <f>C27*B8*12</f>
        <v>6500.64</v>
      </c>
    </row>
    <row r="28" spans="1:4" ht="12" customHeight="1">
      <c r="A28" s="7" t="s">
        <v>18</v>
      </c>
      <c r="B28" s="21" t="s">
        <v>77</v>
      </c>
      <c r="C28" s="152"/>
      <c r="D28" s="167"/>
    </row>
    <row r="29" spans="1:4" ht="13.5" customHeight="1">
      <c r="A29" s="157" t="s">
        <v>19</v>
      </c>
      <c r="B29" s="158"/>
      <c r="C29" s="158"/>
      <c r="D29" s="159"/>
    </row>
    <row r="30" spans="1:4">
      <c r="A30" s="167" t="s">
        <v>20</v>
      </c>
      <c r="B30" s="167"/>
      <c r="C30" s="167"/>
      <c r="D30" s="167"/>
    </row>
    <row r="31" spans="1:4" ht="37.5" customHeight="1">
      <c r="A31" s="8" t="s">
        <v>21</v>
      </c>
      <c r="B31" s="22" t="s">
        <v>79</v>
      </c>
      <c r="C31" s="152">
        <v>0.52</v>
      </c>
      <c r="D31" s="154">
        <f>C31*B8*12</f>
        <v>16901.664000000001</v>
      </c>
    </row>
    <row r="32" spans="1:4" ht="15" customHeight="1">
      <c r="A32" s="9" t="s">
        <v>23</v>
      </c>
      <c r="B32" s="23" t="s">
        <v>80</v>
      </c>
      <c r="C32" s="152"/>
      <c r="D32" s="155"/>
    </row>
    <row r="33" spans="1:4" ht="13.5" customHeight="1">
      <c r="A33" s="9" t="s">
        <v>25</v>
      </c>
      <c r="B33" s="23" t="s">
        <v>80</v>
      </c>
      <c r="C33" s="152"/>
      <c r="D33" s="155"/>
    </row>
    <row r="34" spans="1:4" ht="36" customHeight="1">
      <c r="A34" s="9" t="s">
        <v>26</v>
      </c>
      <c r="B34" s="22" t="s">
        <v>22</v>
      </c>
      <c r="C34" s="152"/>
      <c r="D34" s="155"/>
    </row>
    <row r="35" spans="1:4" ht="14.25" customHeight="1">
      <c r="A35" s="9" t="s">
        <v>27</v>
      </c>
      <c r="B35" s="22" t="s">
        <v>24</v>
      </c>
      <c r="C35" s="152"/>
      <c r="D35" s="155"/>
    </row>
    <row r="36" spans="1:4" ht="33.75" customHeight="1">
      <c r="A36" s="24" t="s">
        <v>28</v>
      </c>
      <c r="B36" s="22" t="s">
        <v>22</v>
      </c>
      <c r="C36" s="153"/>
      <c r="D36" s="156"/>
    </row>
    <row r="37" spans="1:4" ht="15.75" customHeight="1">
      <c r="A37" s="167" t="s">
        <v>65</v>
      </c>
      <c r="B37" s="167"/>
      <c r="C37" s="167"/>
      <c r="D37" s="167"/>
    </row>
    <row r="38" spans="1:4" ht="36.75" customHeight="1">
      <c r="A38" s="9" t="s">
        <v>66</v>
      </c>
      <c r="B38" s="22" t="s">
        <v>79</v>
      </c>
      <c r="C38" s="154">
        <v>1.19</v>
      </c>
      <c r="D38" s="152">
        <f>C38*B8*12</f>
        <v>38678.807999999997</v>
      </c>
    </row>
    <row r="39" spans="1:4" ht="14.25" customHeight="1">
      <c r="A39" s="9" t="s">
        <v>67</v>
      </c>
      <c r="B39" s="22" t="s">
        <v>80</v>
      </c>
      <c r="C39" s="154"/>
      <c r="D39" s="168"/>
    </row>
    <row r="40" spans="1:4" ht="14.25" customHeight="1">
      <c r="A40" s="9" t="s">
        <v>68</v>
      </c>
      <c r="B40" s="22" t="s">
        <v>80</v>
      </c>
      <c r="C40" s="154"/>
      <c r="D40" s="168"/>
    </row>
    <row r="41" spans="1:4" ht="24" customHeight="1">
      <c r="A41" s="9" t="s">
        <v>69</v>
      </c>
      <c r="B41" s="22" t="s">
        <v>79</v>
      </c>
      <c r="C41" s="154"/>
      <c r="D41" s="168"/>
    </row>
    <row r="42" spans="1:4" ht="25.5" customHeight="1">
      <c r="A42" s="10" t="s">
        <v>70</v>
      </c>
      <c r="B42" s="22" t="s">
        <v>79</v>
      </c>
      <c r="C42" s="154"/>
      <c r="D42" s="168"/>
    </row>
    <row r="43" spans="1:4" ht="14.25" customHeight="1">
      <c r="A43" s="9" t="s">
        <v>71</v>
      </c>
      <c r="B43" s="22" t="s">
        <v>84</v>
      </c>
      <c r="C43" s="154"/>
      <c r="D43" s="162"/>
    </row>
    <row r="44" spans="1:4" ht="11.25" customHeight="1">
      <c r="A44" s="169" t="s">
        <v>29</v>
      </c>
      <c r="B44" s="169"/>
      <c r="C44" s="169"/>
      <c r="D44" s="169"/>
    </row>
    <row r="45" spans="1:4" ht="35.25" customHeight="1">
      <c r="A45" s="9" t="s">
        <v>30</v>
      </c>
      <c r="B45" s="22" t="s">
        <v>22</v>
      </c>
      <c r="C45" s="154">
        <v>0.91</v>
      </c>
      <c r="D45" s="152">
        <f>C45*12*B8</f>
        <v>29577.912</v>
      </c>
    </row>
    <row r="46" spans="1:4" ht="38.25" customHeight="1">
      <c r="A46" s="9" t="s">
        <v>31</v>
      </c>
      <c r="B46" s="22" t="s">
        <v>22</v>
      </c>
      <c r="C46" s="154"/>
      <c r="D46" s="152"/>
    </row>
    <row r="47" spans="1:4" ht="15" customHeight="1">
      <c r="A47" s="10" t="s">
        <v>32</v>
      </c>
      <c r="B47" s="22" t="s">
        <v>22</v>
      </c>
      <c r="C47" s="154"/>
      <c r="D47" s="152"/>
    </row>
    <row r="48" spans="1:4" ht="12.75" customHeight="1">
      <c r="A48" s="167" t="s">
        <v>33</v>
      </c>
      <c r="B48" s="167"/>
      <c r="C48" s="167"/>
      <c r="D48" s="167"/>
    </row>
    <row r="49" spans="1:4" ht="29.25" customHeight="1">
      <c r="A49" s="9" t="s">
        <v>34</v>
      </c>
      <c r="B49" s="22" t="s">
        <v>77</v>
      </c>
      <c r="C49" s="154">
        <v>2.09</v>
      </c>
      <c r="D49" s="154">
        <f>C49*12*B8</f>
        <v>67931.687999999995</v>
      </c>
    </row>
    <row r="50" spans="1:4" ht="14.25" customHeight="1">
      <c r="A50" s="9" t="s">
        <v>35</v>
      </c>
      <c r="B50" s="22" t="s">
        <v>81</v>
      </c>
      <c r="C50" s="154"/>
      <c r="D50" s="154"/>
    </row>
    <row r="51" spans="1:4" ht="17.25" customHeight="1">
      <c r="A51" s="9" t="s">
        <v>36</v>
      </c>
      <c r="B51" s="22" t="s">
        <v>81</v>
      </c>
      <c r="C51" s="154"/>
      <c r="D51" s="154"/>
    </row>
    <row r="52" spans="1:4" ht="24.75" customHeight="1">
      <c r="A52" s="9" t="s">
        <v>37</v>
      </c>
      <c r="B52" s="22" t="s">
        <v>82</v>
      </c>
      <c r="C52" s="154"/>
      <c r="D52" s="154"/>
    </row>
    <row r="53" spans="1:4" ht="30" customHeight="1">
      <c r="A53" s="9" t="s">
        <v>38</v>
      </c>
      <c r="B53" s="22" t="s">
        <v>82</v>
      </c>
      <c r="C53" s="154"/>
      <c r="D53" s="154"/>
    </row>
    <row r="54" spans="1:4" ht="12.75" customHeight="1">
      <c r="A54" s="72" t="s">
        <v>95</v>
      </c>
      <c r="B54" s="6"/>
      <c r="C54" s="154"/>
      <c r="D54" s="154"/>
    </row>
    <row r="55" spans="1:4" ht="35.25" customHeight="1">
      <c r="A55" s="9" t="s">
        <v>40</v>
      </c>
      <c r="B55" s="22" t="s">
        <v>79</v>
      </c>
      <c r="C55" s="154"/>
      <c r="D55" s="154"/>
    </row>
    <row r="56" spans="1:4" ht="14.25" customHeight="1">
      <c r="A56" s="9" t="s">
        <v>41</v>
      </c>
      <c r="B56" s="22" t="s">
        <v>80</v>
      </c>
      <c r="C56" s="154"/>
      <c r="D56" s="154"/>
    </row>
    <row r="57" spans="1:4" ht="14.25" customHeight="1">
      <c r="A57" s="9" t="s">
        <v>42</v>
      </c>
      <c r="B57" s="23" t="s">
        <v>80</v>
      </c>
      <c r="C57" s="154"/>
      <c r="D57" s="154"/>
    </row>
    <row r="58" spans="1:4" ht="13.5" customHeight="1">
      <c r="A58" s="9" t="s">
        <v>43</v>
      </c>
      <c r="B58" s="23" t="s">
        <v>80</v>
      </c>
      <c r="C58" s="154"/>
      <c r="D58" s="154"/>
    </row>
    <row r="59" spans="1:4" ht="13.5" customHeight="1">
      <c r="A59" s="9" t="s">
        <v>44</v>
      </c>
      <c r="B59" s="21" t="s">
        <v>189</v>
      </c>
      <c r="C59" s="154"/>
      <c r="D59" s="154"/>
    </row>
    <row r="60" spans="1:4" ht="36.75" customHeight="1">
      <c r="A60" s="10" t="s">
        <v>45</v>
      </c>
      <c r="B60" s="22" t="s">
        <v>22</v>
      </c>
      <c r="C60" s="154"/>
      <c r="D60" s="154"/>
    </row>
    <row r="61" spans="1:4" ht="22.5" customHeight="1">
      <c r="A61" s="10"/>
      <c r="B61" s="22"/>
      <c r="C61" s="70"/>
      <c r="D61" s="70"/>
    </row>
    <row r="62" spans="1:4">
      <c r="A62" s="167" t="s">
        <v>46</v>
      </c>
      <c r="B62" s="167"/>
      <c r="C62" s="167"/>
      <c r="D62" s="167"/>
    </row>
    <row r="63" spans="1:4" ht="15.75" customHeight="1">
      <c r="A63" s="9" t="s">
        <v>47</v>
      </c>
      <c r="B63" s="22" t="s">
        <v>83</v>
      </c>
      <c r="C63" s="153">
        <v>1.29</v>
      </c>
      <c r="D63" s="166">
        <f>C63*B8*12+82.62</f>
        <v>42011.748</v>
      </c>
    </row>
    <row r="64" spans="1:4" ht="12.75" customHeight="1">
      <c r="A64" s="9" t="s">
        <v>48</v>
      </c>
      <c r="B64" s="22" t="s">
        <v>83</v>
      </c>
      <c r="C64" s="168"/>
      <c r="D64" s="155"/>
    </row>
    <row r="65" spans="1:4" ht="24.75" customHeight="1">
      <c r="A65" s="9" t="s">
        <v>49</v>
      </c>
      <c r="B65" s="22" t="s">
        <v>83</v>
      </c>
      <c r="C65" s="168"/>
      <c r="D65" s="155"/>
    </row>
    <row r="66" spans="1:4" ht="16.5" customHeight="1">
      <c r="A66" s="9" t="s">
        <v>50</v>
      </c>
      <c r="B66" s="22" t="s">
        <v>83</v>
      </c>
      <c r="C66" s="168"/>
      <c r="D66" s="155"/>
    </row>
    <row r="67" spans="1:4" ht="39.75" customHeight="1">
      <c r="A67" s="10" t="s">
        <v>51</v>
      </c>
      <c r="B67" s="22" t="s">
        <v>22</v>
      </c>
      <c r="C67" s="168"/>
      <c r="D67" s="155"/>
    </row>
    <row r="68" spans="1:4" ht="16.5" customHeight="1">
      <c r="A68" s="10" t="s">
        <v>52</v>
      </c>
      <c r="B68" s="23" t="s">
        <v>84</v>
      </c>
      <c r="C68" s="162"/>
      <c r="D68" s="156"/>
    </row>
    <row r="69" spans="1:4">
      <c r="A69" s="157" t="s">
        <v>85</v>
      </c>
      <c r="B69" s="158"/>
      <c r="C69" s="158"/>
      <c r="D69" s="159"/>
    </row>
    <row r="70" spans="1:4" ht="26.25" customHeight="1">
      <c r="A70" s="184" t="s">
        <v>96</v>
      </c>
      <c r="B70" s="177" t="s">
        <v>86</v>
      </c>
      <c r="C70" s="152">
        <v>2.41</v>
      </c>
      <c r="D70" s="154">
        <f>C70*B8*12</f>
        <v>78332.712</v>
      </c>
    </row>
    <row r="71" spans="1:4" ht="13.5" customHeight="1">
      <c r="A71" s="185"/>
      <c r="B71" s="177"/>
      <c r="C71" s="152"/>
      <c r="D71" s="154"/>
    </row>
    <row r="72" spans="1:4" ht="15" customHeight="1">
      <c r="A72" s="157" t="s">
        <v>55</v>
      </c>
      <c r="B72" s="158"/>
      <c r="C72" s="158"/>
      <c r="D72" s="159"/>
    </row>
    <row r="73" spans="1:4" ht="16.5" customHeight="1">
      <c r="A73" s="6" t="s">
        <v>90</v>
      </c>
      <c r="B73" s="21" t="s">
        <v>87</v>
      </c>
      <c r="C73" s="170">
        <v>2.14</v>
      </c>
      <c r="D73" s="172">
        <f>5796.38+63759.97</f>
        <v>69556.350000000006</v>
      </c>
    </row>
    <row r="74" spans="1:4">
      <c r="A74" s="6" t="s">
        <v>91</v>
      </c>
      <c r="B74" s="21" t="s">
        <v>87</v>
      </c>
      <c r="C74" s="171"/>
      <c r="D74" s="173"/>
    </row>
    <row r="75" spans="1:4" ht="15" customHeight="1">
      <c r="A75" s="6" t="s">
        <v>92</v>
      </c>
      <c r="B75" s="21" t="s">
        <v>87</v>
      </c>
      <c r="C75" s="169"/>
      <c r="D75" s="174"/>
    </row>
    <row r="76" spans="1:4" ht="38.25" customHeight="1">
      <c r="A76" s="6" t="s">
        <v>143</v>
      </c>
      <c r="B76" s="22" t="s">
        <v>22</v>
      </c>
      <c r="C76" s="69">
        <v>4.3499999999999996</v>
      </c>
      <c r="D76" s="69">
        <f>C76*12*B8</f>
        <v>141388.91999999998</v>
      </c>
    </row>
    <row r="77" spans="1:4">
      <c r="A77" s="72" t="s">
        <v>56</v>
      </c>
      <c r="B77" s="23"/>
      <c r="C77" s="28">
        <f>C76+C73+C70+C63+C49+C45+C38+C31+C27+C20+C17+C16+C13</f>
        <v>21.617465111127519</v>
      </c>
      <c r="D77" s="54">
        <f>D76+D73+D70+D63+D49+D45+D38+D31+D27+D20+D17+D16+D13</f>
        <v>702718.91399999987</v>
      </c>
    </row>
    <row r="79" spans="1:4">
      <c r="D79" s="40"/>
    </row>
    <row r="80" spans="1:4">
      <c r="D80" s="40"/>
    </row>
    <row r="81" spans="4:4">
      <c r="D81" s="40"/>
    </row>
    <row r="82" spans="4:4">
      <c r="D82" s="40"/>
    </row>
  </sheetData>
  <mergeCells count="34">
    <mergeCell ref="C49:C60"/>
    <mergeCell ref="D49:D60"/>
    <mergeCell ref="A72:D72"/>
    <mergeCell ref="C73:C75"/>
    <mergeCell ref="D73:D75"/>
    <mergeCell ref="A62:D62"/>
    <mergeCell ref="A69:D69"/>
    <mergeCell ref="A70:A71"/>
    <mergeCell ref="B70:B71"/>
    <mergeCell ref="C70:C71"/>
    <mergeCell ref="D70:D71"/>
    <mergeCell ref="D63:D68"/>
    <mergeCell ref="C63:C68"/>
    <mergeCell ref="A44:D44"/>
    <mergeCell ref="C45:C47"/>
    <mergeCell ref="D45:D47"/>
    <mergeCell ref="A48:D48"/>
    <mergeCell ref="B13:B14"/>
    <mergeCell ref="C38:C43"/>
    <mergeCell ref="D38:D43"/>
    <mergeCell ref="C27:C28"/>
    <mergeCell ref="D27:D28"/>
    <mergeCell ref="A29:D29"/>
    <mergeCell ref="A30:D30"/>
    <mergeCell ref="C31:C36"/>
    <mergeCell ref="D31:D36"/>
    <mergeCell ref="A37:D37"/>
    <mergeCell ref="A12:D12"/>
    <mergeCell ref="A18:D18"/>
    <mergeCell ref="C20:C25"/>
    <mergeCell ref="D20:D25"/>
    <mergeCell ref="A26:D26"/>
    <mergeCell ref="C13:C14"/>
    <mergeCell ref="D13:D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E83"/>
  <sheetViews>
    <sheetView topLeftCell="A67" workbookViewId="0">
      <selection activeCell="G17" sqref="G17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  <col min="5" max="5" width="0.140625" customWidth="1"/>
  </cols>
  <sheetData>
    <row r="1" spans="1:5">
      <c r="A1" s="1" t="s">
        <v>0</v>
      </c>
      <c r="B1" s="2"/>
      <c r="C1" s="2"/>
      <c r="D1" s="2" t="s">
        <v>64</v>
      </c>
    </row>
    <row r="2" spans="1:5">
      <c r="A2" s="1" t="s">
        <v>188</v>
      </c>
      <c r="B2" s="2"/>
      <c r="C2" s="2"/>
      <c r="D2" s="2"/>
    </row>
    <row r="3" spans="1:5">
      <c r="A3" s="1" t="s">
        <v>258</v>
      </c>
      <c r="B3" s="2"/>
      <c r="C3" s="2"/>
      <c r="D3" s="2"/>
    </row>
    <row r="4" spans="1:5">
      <c r="A4" s="25" t="s">
        <v>58</v>
      </c>
      <c r="B4" s="2">
        <v>1989</v>
      </c>
      <c r="C4" s="2"/>
      <c r="D4" s="2"/>
    </row>
    <row r="5" spans="1:5">
      <c r="A5" s="25" t="s">
        <v>59</v>
      </c>
      <c r="B5" s="2">
        <v>4</v>
      </c>
      <c r="C5" s="2"/>
      <c r="D5" s="2"/>
    </row>
    <row r="6" spans="1:5">
      <c r="A6" s="25" t="s">
        <v>60</v>
      </c>
      <c r="B6" s="2">
        <v>1</v>
      </c>
      <c r="C6" s="2"/>
      <c r="D6" s="2"/>
    </row>
    <row r="7" spans="1:5">
      <c r="A7" s="25" t="s">
        <v>61</v>
      </c>
      <c r="B7" s="2">
        <v>43</v>
      </c>
      <c r="C7" s="2"/>
      <c r="D7" s="2"/>
    </row>
    <row r="8" spans="1:5">
      <c r="A8" s="25" t="s">
        <v>72</v>
      </c>
      <c r="B8" s="2">
        <v>1624.4</v>
      </c>
      <c r="C8" s="2"/>
      <c r="D8" s="46"/>
    </row>
    <row r="9" spans="1:5">
      <c r="A9" s="25" t="s">
        <v>62</v>
      </c>
      <c r="B9" s="2">
        <v>826.2</v>
      </c>
      <c r="C9" s="2"/>
      <c r="D9" s="2"/>
    </row>
    <row r="10" spans="1:5">
      <c r="A10" s="25" t="s">
        <v>392</v>
      </c>
      <c r="B10" s="2">
        <v>57</v>
      </c>
      <c r="C10" s="2"/>
      <c r="D10" s="2"/>
      <c r="E10">
        <f>B8+B10</f>
        <v>1681.4</v>
      </c>
    </row>
    <row r="11" spans="1:5">
      <c r="A11" s="25" t="s">
        <v>73</v>
      </c>
      <c r="B11" s="46">
        <v>524.4</v>
      </c>
      <c r="C11" s="2"/>
      <c r="D11" s="2"/>
    </row>
    <row r="12" spans="1:5" ht="36.75">
      <c r="A12" s="71" t="s">
        <v>1</v>
      </c>
      <c r="B12" s="71" t="s">
        <v>2</v>
      </c>
      <c r="C12" s="71" t="s">
        <v>3</v>
      </c>
      <c r="D12" s="71" t="s">
        <v>4</v>
      </c>
    </row>
    <row r="13" spans="1:5">
      <c r="A13" s="157" t="s">
        <v>5</v>
      </c>
      <c r="B13" s="158"/>
      <c r="C13" s="158"/>
      <c r="D13" s="159"/>
    </row>
    <row r="14" spans="1:5" ht="88.5" customHeight="1">
      <c r="A14" s="104" t="s">
        <v>6</v>
      </c>
      <c r="B14" s="160" t="s">
        <v>8</v>
      </c>
      <c r="C14" s="153">
        <v>1.04</v>
      </c>
      <c r="D14" s="163">
        <f>C14*12*E10</f>
        <v>20983.872000000003</v>
      </c>
    </row>
    <row r="15" spans="1:5" ht="75.75" customHeight="1">
      <c r="A15" s="103" t="s">
        <v>89</v>
      </c>
      <c r="B15" s="161"/>
      <c r="C15" s="162"/>
      <c r="D15" s="164"/>
    </row>
    <row r="16" spans="1:5">
      <c r="A16" s="6" t="s">
        <v>9</v>
      </c>
      <c r="B16" s="71"/>
      <c r="C16" s="26"/>
      <c r="D16" s="30"/>
    </row>
    <row r="17" spans="1:4">
      <c r="A17" s="6" t="s">
        <v>350</v>
      </c>
      <c r="B17" s="132" t="s">
        <v>117</v>
      </c>
      <c r="C17" s="44">
        <v>3.16</v>
      </c>
      <c r="D17" s="30">
        <f>C17*12*E10</f>
        <v>63758.688000000009</v>
      </c>
    </row>
    <row r="18" spans="1:4">
      <c r="A18" s="165" t="s">
        <v>10</v>
      </c>
      <c r="B18" s="165"/>
      <c r="C18" s="165"/>
      <c r="D18" s="165"/>
    </row>
    <row r="19" spans="1:4" ht="13.5" customHeight="1">
      <c r="A19" s="39" t="s">
        <v>97</v>
      </c>
      <c r="B19" s="72"/>
      <c r="C19" s="72"/>
      <c r="D19" s="72"/>
    </row>
    <row r="20" spans="1:4" ht="13.5" customHeight="1">
      <c r="A20" s="6" t="s">
        <v>11</v>
      </c>
      <c r="B20" s="71" t="s">
        <v>75</v>
      </c>
      <c r="C20" s="152">
        <v>2.16</v>
      </c>
      <c r="D20" s="166">
        <f>C20*E10*12</f>
        <v>43581.888000000006</v>
      </c>
    </row>
    <row r="21" spans="1:4" ht="12.75" customHeight="1">
      <c r="A21" s="6" t="s">
        <v>12</v>
      </c>
      <c r="B21" s="71" t="s">
        <v>75</v>
      </c>
      <c r="C21" s="152"/>
      <c r="D21" s="155"/>
    </row>
    <row r="22" spans="1:4" ht="14.25" customHeight="1">
      <c r="A22" s="6" t="s">
        <v>13</v>
      </c>
      <c r="B22" s="71" t="s">
        <v>75</v>
      </c>
      <c r="C22" s="152"/>
      <c r="D22" s="155"/>
    </row>
    <row r="23" spans="1:4" ht="13.5" customHeight="1">
      <c r="A23" s="6" t="s">
        <v>14</v>
      </c>
      <c r="B23" s="71" t="s">
        <v>76</v>
      </c>
      <c r="C23" s="152"/>
      <c r="D23" s="155"/>
    </row>
    <row r="24" spans="1:4" ht="12.75" customHeight="1">
      <c r="A24" s="39" t="s">
        <v>93</v>
      </c>
      <c r="B24" s="71"/>
      <c r="C24" s="152"/>
      <c r="D24" s="155"/>
    </row>
    <row r="25" spans="1:4" ht="30" customHeight="1">
      <c r="A25" s="6" t="s">
        <v>15</v>
      </c>
      <c r="B25" s="71" t="s">
        <v>94</v>
      </c>
      <c r="C25" s="152"/>
      <c r="D25" s="156"/>
    </row>
    <row r="26" spans="1:4" ht="12.75" customHeight="1">
      <c r="A26" s="157" t="s">
        <v>16</v>
      </c>
      <c r="B26" s="158"/>
      <c r="C26" s="158"/>
      <c r="D26" s="159"/>
    </row>
    <row r="27" spans="1:4" ht="12" customHeight="1">
      <c r="A27" s="7" t="s">
        <v>17</v>
      </c>
      <c r="B27" s="21" t="s">
        <v>78</v>
      </c>
      <c r="C27" s="152">
        <v>0.2</v>
      </c>
      <c r="D27" s="167">
        <f>C27*E10*12</f>
        <v>4035.3600000000006</v>
      </c>
    </row>
    <row r="28" spans="1:4" ht="12" customHeight="1">
      <c r="A28" s="7" t="s">
        <v>18</v>
      </c>
      <c r="B28" s="21" t="s">
        <v>77</v>
      </c>
      <c r="C28" s="152"/>
      <c r="D28" s="167"/>
    </row>
    <row r="29" spans="1:4" ht="13.5" customHeight="1">
      <c r="A29" s="157" t="s">
        <v>19</v>
      </c>
      <c r="B29" s="158"/>
      <c r="C29" s="158"/>
      <c r="D29" s="159"/>
    </row>
    <row r="30" spans="1:4">
      <c r="A30" s="167" t="s">
        <v>20</v>
      </c>
      <c r="B30" s="167"/>
      <c r="C30" s="167"/>
      <c r="D30" s="167"/>
    </row>
    <row r="31" spans="1:4" ht="37.5" customHeight="1">
      <c r="A31" s="8" t="s">
        <v>21</v>
      </c>
      <c r="B31" s="22" t="s">
        <v>79</v>
      </c>
      <c r="C31" s="152">
        <v>0.79</v>
      </c>
      <c r="D31" s="154">
        <f>C31*E10*12</f>
        <v>15939.672</v>
      </c>
    </row>
    <row r="32" spans="1:4" ht="15" customHeight="1">
      <c r="A32" s="9" t="s">
        <v>23</v>
      </c>
      <c r="B32" s="23" t="s">
        <v>80</v>
      </c>
      <c r="C32" s="152"/>
      <c r="D32" s="155"/>
    </row>
    <row r="33" spans="1:4" ht="13.5" customHeight="1">
      <c r="A33" s="9" t="s">
        <v>25</v>
      </c>
      <c r="B33" s="23" t="s">
        <v>80</v>
      </c>
      <c r="C33" s="152"/>
      <c r="D33" s="155"/>
    </row>
    <row r="34" spans="1:4" ht="36" customHeight="1">
      <c r="A34" s="9" t="s">
        <v>26</v>
      </c>
      <c r="B34" s="22" t="s">
        <v>22</v>
      </c>
      <c r="C34" s="152"/>
      <c r="D34" s="155"/>
    </row>
    <row r="35" spans="1:4" ht="14.25" customHeight="1">
      <c r="A35" s="9" t="s">
        <v>27</v>
      </c>
      <c r="B35" s="22" t="s">
        <v>24</v>
      </c>
      <c r="C35" s="152"/>
      <c r="D35" s="155"/>
    </row>
    <row r="36" spans="1:4" ht="33.75" customHeight="1">
      <c r="A36" s="24" t="s">
        <v>28</v>
      </c>
      <c r="B36" s="22" t="s">
        <v>22</v>
      </c>
      <c r="C36" s="153"/>
      <c r="D36" s="156"/>
    </row>
    <row r="37" spans="1:4" ht="15.75" customHeight="1">
      <c r="A37" s="167" t="s">
        <v>65</v>
      </c>
      <c r="B37" s="167"/>
      <c r="C37" s="167"/>
      <c r="D37" s="167"/>
    </row>
    <row r="38" spans="1:4" ht="36.75" customHeight="1">
      <c r="A38" s="9" t="s">
        <v>66</v>
      </c>
      <c r="B38" s="22" t="s">
        <v>79</v>
      </c>
      <c r="C38" s="154">
        <v>0.89</v>
      </c>
      <c r="D38" s="152">
        <f>C38*E10*12</f>
        <v>17957.352000000003</v>
      </c>
    </row>
    <row r="39" spans="1:4" ht="14.25" customHeight="1">
      <c r="A39" s="9" t="s">
        <v>67</v>
      </c>
      <c r="B39" s="22" t="s">
        <v>80</v>
      </c>
      <c r="C39" s="154"/>
      <c r="D39" s="168"/>
    </row>
    <row r="40" spans="1:4" ht="14.25" customHeight="1">
      <c r="A40" s="9" t="s">
        <v>68</v>
      </c>
      <c r="B40" s="22" t="s">
        <v>80</v>
      </c>
      <c r="C40" s="154"/>
      <c r="D40" s="168"/>
    </row>
    <row r="41" spans="1:4" ht="24" customHeight="1">
      <c r="A41" s="9" t="s">
        <v>69</v>
      </c>
      <c r="B41" s="22" t="s">
        <v>79</v>
      </c>
      <c r="C41" s="154"/>
      <c r="D41" s="168"/>
    </row>
    <row r="42" spans="1:4" ht="25.5" customHeight="1">
      <c r="A42" s="10" t="s">
        <v>70</v>
      </c>
      <c r="B42" s="22" t="s">
        <v>79</v>
      </c>
      <c r="C42" s="154"/>
      <c r="D42" s="168"/>
    </row>
    <row r="43" spans="1:4" ht="14.25" customHeight="1">
      <c r="A43" s="9" t="s">
        <v>71</v>
      </c>
      <c r="B43" s="22" t="s">
        <v>84</v>
      </c>
      <c r="C43" s="154"/>
      <c r="D43" s="162"/>
    </row>
    <row r="44" spans="1:4" ht="11.25" customHeight="1">
      <c r="A44" s="169" t="s">
        <v>29</v>
      </c>
      <c r="B44" s="169"/>
      <c r="C44" s="169"/>
      <c r="D44" s="169"/>
    </row>
    <row r="45" spans="1:4" ht="35.25" customHeight="1">
      <c r="A45" s="9" t="s">
        <v>30</v>
      </c>
      <c r="B45" s="22" t="s">
        <v>22</v>
      </c>
      <c r="C45" s="154">
        <v>1.21</v>
      </c>
      <c r="D45" s="152">
        <f>C45*12*E10</f>
        <v>24413.928</v>
      </c>
    </row>
    <row r="46" spans="1:4" ht="38.25" customHeight="1">
      <c r="A46" s="9" t="s">
        <v>31</v>
      </c>
      <c r="B46" s="22" t="s">
        <v>22</v>
      </c>
      <c r="C46" s="154"/>
      <c r="D46" s="152"/>
    </row>
    <row r="47" spans="1:4" ht="15" customHeight="1">
      <c r="A47" s="10" t="s">
        <v>32</v>
      </c>
      <c r="B47" s="22" t="s">
        <v>22</v>
      </c>
      <c r="C47" s="154"/>
      <c r="D47" s="152"/>
    </row>
    <row r="48" spans="1:4" ht="12.75" customHeight="1">
      <c r="A48" s="167">
        <v>2.4900000000000002</v>
      </c>
      <c r="B48" s="167"/>
      <c r="C48" s="167"/>
      <c r="D48" s="167"/>
    </row>
    <row r="49" spans="1:4" ht="29.25" customHeight="1">
      <c r="A49" s="9" t="s">
        <v>34</v>
      </c>
      <c r="B49" s="22" t="s">
        <v>77</v>
      </c>
      <c r="C49" s="154">
        <v>2.4900000000000002</v>
      </c>
      <c r="D49" s="154">
        <f>C49*12*E10</f>
        <v>50240.232000000004</v>
      </c>
    </row>
    <row r="50" spans="1:4" ht="14.25" customHeight="1">
      <c r="A50" s="9" t="s">
        <v>35</v>
      </c>
      <c r="B50" s="22" t="s">
        <v>81</v>
      </c>
      <c r="C50" s="154"/>
      <c r="D50" s="154"/>
    </row>
    <row r="51" spans="1:4" ht="17.25" customHeight="1">
      <c r="A51" s="9" t="s">
        <v>36</v>
      </c>
      <c r="B51" s="22" t="s">
        <v>81</v>
      </c>
      <c r="C51" s="154"/>
      <c r="D51" s="154"/>
    </row>
    <row r="52" spans="1:4" ht="24.75" customHeight="1">
      <c r="A52" s="9" t="s">
        <v>37</v>
      </c>
      <c r="B52" s="22" t="s">
        <v>82</v>
      </c>
      <c r="C52" s="154"/>
      <c r="D52" s="154"/>
    </row>
    <row r="53" spans="1:4" ht="30" customHeight="1">
      <c r="A53" s="9" t="s">
        <v>38</v>
      </c>
      <c r="B53" s="22" t="s">
        <v>82</v>
      </c>
      <c r="C53" s="154"/>
      <c r="D53" s="154"/>
    </row>
    <row r="54" spans="1:4" ht="12.75" customHeight="1">
      <c r="A54" s="72" t="s">
        <v>95</v>
      </c>
      <c r="B54" s="6"/>
      <c r="C54" s="154"/>
      <c r="D54" s="154"/>
    </row>
    <row r="55" spans="1:4" ht="35.25" customHeight="1">
      <c r="A55" s="9" t="s">
        <v>40</v>
      </c>
      <c r="B55" s="22" t="s">
        <v>79</v>
      </c>
      <c r="C55" s="154"/>
      <c r="D55" s="154"/>
    </row>
    <row r="56" spans="1:4" ht="14.25" customHeight="1">
      <c r="A56" s="9" t="s">
        <v>41</v>
      </c>
      <c r="B56" s="22" t="s">
        <v>80</v>
      </c>
      <c r="C56" s="154"/>
      <c r="D56" s="154"/>
    </row>
    <row r="57" spans="1:4" ht="14.25" customHeight="1">
      <c r="A57" s="9" t="s">
        <v>42</v>
      </c>
      <c r="B57" s="23" t="s">
        <v>80</v>
      </c>
      <c r="C57" s="154"/>
      <c r="D57" s="154"/>
    </row>
    <row r="58" spans="1:4" ht="13.5" customHeight="1">
      <c r="A58" s="9" t="s">
        <v>43</v>
      </c>
      <c r="B58" s="23" t="s">
        <v>80</v>
      </c>
      <c r="C58" s="154"/>
      <c r="D58" s="154"/>
    </row>
    <row r="59" spans="1:4" ht="13.5" customHeight="1">
      <c r="A59" s="9" t="s">
        <v>44</v>
      </c>
      <c r="B59" s="21" t="s">
        <v>189</v>
      </c>
      <c r="C59" s="154"/>
      <c r="D59" s="154"/>
    </row>
    <row r="60" spans="1:4" ht="36.75" customHeight="1">
      <c r="A60" s="10" t="s">
        <v>45</v>
      </c>
      <c r="B60" s="22" t="s">
        <v>22</v>
      </c>
      <c r="C60" s="154"/>
      <c r="D60" s="154"/>
    </row>
    <row r="61" spans="1:4" ht="22.5" customHeight="1">
      <c r="A61" s="10"/>
      <c r="B61" s="22"/>
      <c r="C61" s="70"/>
      <c r="D61" s="70"/>
    </row>
    <row r="62" spans="1:4">
      <c r="A62" s="167" t="s">
        <v>46</v>
      </c>
      <c r="B62" s="167"/>
      <c r="C62" s="167"/>
      <c r="D62" s="167"/>
    </row>
    <row r="63" spans="1:4" ht="15.75" customHeight="1">
      <c r="A63" s="9" t="s">
        <v>47</v>
      </c>
      <c r="B63" s="22" t="s">
        <v>83</v>
      </c>
      <c r="C63" s="198">
        <v>0.78</v>
      </c>
      <c r="D63" s="166">
        <f>C63*E10*12</f>
        <v>15737.904000000002</v>
      </c>
    </row>
    <row r="64" spans="1:4" ht="12.75" customHeight="1">
      <c r="A64" s="9" t="s">
        <v>48</v>
      </c>
      <c r="B64" s="22" t="s">
        <v>83</v>
      </c>
      <c r="C64" s="199"/>
      <c r="D64" s="155"/>
    </row>
    <row r="65" spans="1:4" ht="26.25" customHeight="1">
      <c r="A65" s="9" t="s">
        <v>49</v>
      </c>
      <c r="B65" s="22" t="s">
        <v>83</v>
      </c>
      <c r="C65" s="199"/>
      <c r="D65" s="155"/>
    </row>
    <row r="66" spans="1:4" ht="16.5" customHeight="1">
      <c r="A66" s="9" t="s">
        <v>50</v>
      </c>
      <c r="B66" s="22" t="s">
        <v>83</v>
      </c>
      <c r="C66" s="199"/>
      <c r="D66" s="155"/>
    </row>
    <row r="67" spans="1:4" ht="39.75" customHeight="1">
      <c r="A67" s="10" t="s">
        <v>51</v>
      </c>
      <c r="B67" s="22" t="s">
        <v>22</v>
      </c>
      <c r="C67" s="199"/>
      <c r="D67" s="155"/>
    </row>
    <row r="68" spans="1:4" ht="16.5" customHeight="1">
      <c r="A68" s="10" t="s">
        <v>52</v>
      </c>
      <c r="B68" s="23" t="s">
        <v>84</v>
      </c>
      <c r="C68" s="200"/>
      <c r="D68" s="156"/>
    </row>
    <row r="69" spans="1:4">
      <c r="A69" s="157" t="s">
        <v>85</v>
      </c>
      <c r="B69" s="158"/>
      <c r="C69" s="158"/>
      <c r="D69" s="159"/>
    </row>
    <row r="70" spans="1:4" ht="26.25" customHeight="1">
      <c r="A70" s="184" t="s">
        <v>96</v>
      </c>
      <c r="B70" s="177" t="s">
        <v>86</v>
      </c>
      <c r="C70" s="152">
        <v>2.41</v>
      </c>
      <c r="D70" s="154">
        <f>C70*E10*12</f>
        <v>48626.088000000003</v>
      </c>
    </row>
    <row r="71" spans="1:4" ht="13.5" customHeight="1">
      <c r="A71" s="185"/>
      <c r="B71" s="177"/>
      <c r="C71" s="152"/>
      <c r="D71" s="154"/>
    </row>
    <row r="72" spans="1:4" ht="15" customHeight="1">
      <c r="A72" s="157" t="s">
        <v>55</v>
      </c>
      <c r="B72" s="158"/>
      <c r="C72" s="158"/>
      <c r="D72" s="159"/>
    </row>
    <row r="73" spans="1:4" ht="16.5" customHeight="1">
      <c r="A73" s="6" t="s">
        <v>90</v>
      </c>
      <c r="B73" s="21" t="s">
        <v>87</v>
      </c>
      <c r="C73" s="170">
        <v>2.14</v>
      </c>
      <c r="D73" s="172">
        <f>C73*12*E10</f>
        <v>43178.351999999999</v>
      </c>
    </row>
    <row r="74" spans="1:4">
      <c r="A74" s="6" t="s">
        <v>91</v>
      </c>
      <c r="B74" s="21" t="s">
        <v>87</v>
      </c>
      <c r="C74" s="171"/>
      <c r="D74" s="173"/>
    </row>
    <row r="75" spans="1:4" ht="15" customHeight="1">
      <c r="A75" s="6" t="s">
        <v>92</v>
      </c>
      <c r="B75" s="21" t="s">
        <v>87</v>
      </c>
      <c r="C75" s="169"/>
      <c r="D75" s="174"/>
    </row>
    <row r="76" spans="1:4" ht="38.25" customHeight="1">
      <c r="A76" s="6" t="s">
        <v>143</v>
      </c>
      <c r="B76" s="22" t="s">
        <v>22</v>
      </c>
      <c r="C76" s="69">
        <v>4.3499999999999996</v>
      </c>
      <c r="D76" s="69">
        <f>C76*12*E10-4.5</f>
        <v>87764.58</v>
      </c>
    </row>
    <row r="77" spans="1:4">
      <c r="A77" s="72" t="s">
        <v>56</v>
      </c>
      <c r="B77" s="23"/>
      <c r="C77" s="28">
        <f>C76+C73+C70+C63+C49+C45+C38+C31+C27+C20+C17+C14</f>
        <v>21.619999999999997</v>
      </c>
      <c r="D77" s="28">
        <f>D76+D73+D70+D63+D49+D45+D38+D31+D27+D20+D17+D14</f>
        <v>436217.91600000008</v>
      </c>
    </row>
    <row r="79" spans="1:4">
      <c r="D79" s="40"/>
    </row>
    <row r="80" spans="1:4">
      <c r="D80" s="40"/>
    </row>
    <row r="81" spans="4:4">
      <c r="D81" s="40"/>
    </row>
    <row r="82" spans="4:4">
      <c r="D82" s="40"/>
    </row>
    <row r="83" spans="4:4">
      <c r="D83" s="40"/>
    </row>
  </sheetData>
  <mergeCells count="34">
    <mergeCell ref="C49:C60"/>
    <mergeCell ref="D49:D60"/>
    <mergeCell ref="A72:D72"/>
    <mergeCell ref="C73:C75"/>
    <mergeCell ref="D73:D75"/>
    <mergeCell ref="A62:D62"/>
    <mergeCell ref="A69:D69"/>
    <mergeCell ref="A70:A71"/>
    <mergeCell ref="B70:B71"/>
    <mergeCell ref="C70:C71"/>
    <mergeCell ref="D70:D71"/>
    <mergeCell ref="C63:C68"/>
    <mergeCell ref="D63:D68"/>
    <mergeCell ref="A44:D44"/>
    <mergeCell ref="C45:C47"/>
    <mergeCell ref="D45:D47"/>
    <mergeCell ref="A48:D48"/>
    <mergeCell ref="D14:D15"/>
    <mergeCell ref="C38:C43"/>
    <mergeCell ref="D38:D43"/>
    <mergeCell ref="C27:C28"/>
    <mergeCell ref="D27:D28"/>
    <mergeCell ref="A29:D29"/>
    <mergeCell ref="A30:D30"/>
    <mergeCell ref="C31:C36"/>
    <mergeCell ref="D31:D36"/>
    <mergeCell ref="A37:D37"/>
    <mergeCell ref="A13:D13"/>
    <mergeCell ref="A18:D18"/>
    <mergeCell ref="C20:C25"/>
    <mergeCell ref="D20:D25"/>
    <mergeCell ref="A26:D26"/>
    <mergeCell ref="B14:B15"/>
    <mergeCell ref="C14:C1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85"/>
  <sheetViews>
    <sheetView topLeftCell="A16" workbookViewId="0">
      <selection activeCell="A13" sqref="A13:D14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185</v>
      </c>
      <c r="B2" s="2"/>
      <c r="C2" s="2"/>
      <c r="D2" s="2"/>
    </row>
    <row r="3" spans="1:4">
      <c r="A3" s="1" t="s">
        <v>285</v>
      </c>
      <c r="B3" s="2"/>
      <c r="C3" s="2"/>
      <c r="D3" s="2"/>
    </row>
    <row r="4" spans="1:4">
      <c r="A4" s="25" t="s">
        <v>58</v>
      </c>
      <c r="B4" s="2">
        <v>1987</v>
      </c>
      <c r="C4" s="2"/>
      <c r="D4" s="2"/>
    </row>
    <row r="5" spans="1:4">
      <c r="A5" s="25" t="s">
        <v>59</v>
      </c>
      <c r="B5" s="2">
        <v>4</v>
      </c>
      <c r="C5" s="2"/>
      <c r="D5" s="2"/>
    </row>
    <row r="6" spans="1:4">
      <c r="A6" s="25" t="s">
        <v>60</v>
      </c>
      <c r="B6" s="2">
        <v>6</v>
      </c>
      <c r="C6" s="2"/>
      <c r="D6" s="2"/>
    </row>
    <row r="7" spans="1:4">
      <c r="A7" s="25" t="s">
        <v>61</v>
      </c>
      <c r="B7" s="2">
        <v>72</v>
      </c>
      <c r="C7" s="2"/>
      <c r="D7" s="2"/>
    </row>
    <row r="8" spans="1:4">
      <c r="A8" s="25" t="s">
        <v>72</v>
      </c>
      <c r="B8" s="2">
        <v>3408</v>
      </c>
      <c r="C8" s="2"/>
      <c r="D8" s="2"/>
    </row>
    <row r="9" spans="1:4">
      <c r="A9" s="25" t="s">
        <v>62</v>
      </c>
      <c r="B9" s="2">
        <v>355</v>
      </c>
      <c r="C9" s="2"/>
      <c r="D9" s="2"/>
    </row>
    <row r="10" spans="1:4">
      <c r="A10" s="25" t="s">
        <v>73</v>
      </c>
      <c r="B10" s="41">
        <v>894.2</v>
      </c>
      <c r="C10" s="2"/>
      <c r="D10" s="2"/>
    </row>
    <row r="11" spans="1:4" ht="36.75">
      <c r="A11" s="71" t="s">
        <v>1</v>
      </c>
      <c r="B11" s="71" t="s">
        <v>2</v>
      </c>
      <c r="C11" s="71" t="s">
        <v>3</v>
      </c>
      <c r="D11" s="71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1.02</v>
      </c>
      <c r="D13" s="163">
        <f>C13*12*B8</f>
        <v>41713.919999999998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6" t="s">
        <v>9</v>
      </c>
      <c r="B15" s="132"/>
      <c r="C15" s="26"/>
      <c r="D15" s="30"/>
    </row>
    <row r="16" spans="1:4">
      <c r="A16" s="6" t="s">
        <v>309</v>
      </c>
      <c r="B16" s="132" t="s">
        <v>117</v>
      </c>
      <c r="C16" s="26">
        <v>0.3</v>
      </c>
      <c r="D16" s="30">
        <f>C16*12*B8</f>
        <v>12268.8</v>
      </c>
    </row>
    <row r="17" spans="1:4">
      <c r="A17" s="6" t="s">
        <v>348</v>
      </c>
      <c r="B17" s="132" t="s">
        <v>117</v>
      </c>
      <c r="C17" s="44">
        <v>3.5</v>
      </c>
      <c r="D17" s="30">
        <f>C17*12*B8</f>
        <v>143136</v>
      </c>
    </row>
    <row r="18" spans="1:4">
      <c r="A18" s="6" t="s">
        <v>349</v>
      </c>
      <c r="B18" s="132" t="s">
        <v>117</v>
      </c>
      <c r="C18" s="44">
        <v>0.12</v>
      </c>
      <c r="D18" s="30">
        <f>C18*12*B8</f>
        <v>4907.5199999999995</v>
      </c>
    </row>
    <row r="19" spans="1:4" ht="13.5" customHeight="1">
      <c r="A19" s="39" t="s">
        <v>97</v>
      </c>
      <c r="B19" s="72"/>
      <c r="C19" s="72"/>
      <c r="D19" s="72"/>
    </row>
    <row r="20" spans="1:4" ht="13.5" customHeight="1">
      <c r="A20" s="6" t="s">
        <v>11</v>
      </c>
      <c r="B20" s="71" t="s">
        <v>75</v>
      </c>
      <c r="C20" s="152">
        <v>2.16</v>
      </c>
      <c r="D20" s="166">
        <f>C20*B8*12</f>
        <v>88335.360000000015</v>
      </c>
    </row>
    <row r="21" spans="1:4" ht="12.75" customHeight="1">
      <c r="A21" s="6" t="s">
        <v>12</v>
      </c>
      <c r="B21" s="71" t="s">
        <v>75</v>
      </c>
      <c r="C21" s="152"/>
      <c r="D21" s="155"/>
    </row>
    <row r="22" spans="1:4" ht="14.25" customHeight="1">
      <c r="A22" s="6" t="s">
        <v>13</v>
      </c>
      <c r="B22" s="71" t="s">
        <v>75</v>
      </c>
      <c r="C22" s="152"/>
      <c r="D22" s="155"/>
    </row>
    <row r="23" spans="1:4" ht="13.5" customHeight="1">
      <c r="A23" s="6" t="s">
        <v>14</v>
      </c>
      <c r="B23" s="71" t="s">
        <v>76</v>
      </c>
      <c r="C23" s="152"/>
      <c r="D23" s="155"/>
    </row>
    <row r="24" spans="1:4" ht="12.75" customHeight="1">
      <c r="A24" s="39" t="s">
        <v>93</v>
      </c>
      <c r="B24" s="71"/>
      <c r="C24" s="152"/>
      <c r="D24" s="155"/>
    </row>
    <row r="25" spans="1:4" ht="30" customHeight="1">
      <c r="A25" s="6" t="s">
        <v>15</v>
      </c>
      <c r="B25" s="71" t="s">
        <v>94</v>
      </c>
      <c r="C25" s="152"/>
      <c r="D25" s="156"/>
    </row>
    <row r="26" spans="1:4" ht="12.75" customHeight="1">
      <c r="A26" s="157" t="s">
        <v>16</v>
      </c>
      <c r="B26" s="158"/>
      <c r="C26" s="158"/>
      <c r="D26" s="159"/>
    </row>
    <row r="27" spans="1:4" ht="12" customHeight="1">
      <c r="A27" s="7" t="s">
        <v>17</v>
      </c>
      <c r="B27" s="21" t="s">
        <v>78</v>
      </c>
      <c r="C27" s="152">
        <v>0.2</v>
      </c>
      <c r="D27" s="167">
        <f>C27*B8*12</f>
        <v>8179.2000000000007</v>
      </c>
    </row>
    <row r="28" spans="1:4" ht="12" customHeight="1">
      <c r="A28" s="7" t="s">
        <v>18</v>
      </c>
      <c r="B28" s="21" t="s">
        <v>77</v>
      </c>
      <c r="C28" s="152"/>
      <c r="D28" s="167"/>
    </row>
    <row r="29" spans="1:4" ht="13.5" customHeight="1">
      <c r="A29" s="157" t="s">
        <v>19</v>
      </c>
      <c r="B29" s="158"/>
      <c r="C29" s="158"/>
      <c r="D29" s="159"/>
    </row>
    <row r="30" spans="1:4">
      <c r="A30" s="167" t="s">
        <v>20</v>
      </c>
      <c r="B30" s="167"/>
      <c r="C30" s="167"/>
      <c r="D30" s="167"/>
    </row>
    <row r="31" spans="1:4" ht="37.5" customHeight="1">
      <c r="A31" s="8" t="s">
        <v>21</v>
      </c>
      <c r="B31" s="22" t="s">
        <v>79</v>
      </c>
      <c r="C31" s="152">
        <v>0.52</v>
      </c>
      <c r="D31" s="154">
        <f>C31*B8*12</f>
        <v>21265.920000000002</v>
      </c>
    </row>
    <row r="32" spans="1:4" ht="15" customHeight="1">
      <c r="A32" s="9" t="s">
        <v>23</v>
      </c>
      <c r="B32" s="23" t="s">
        <v>80</v>
      </c>
      <c r="C32" s="152"/>
      <c r="D32" s="155"/>
    </row>
    <row r="33" spans="1:4" ht="13.5" customHeight="1">
      <c r="A33" s="9" t="s">
        <v>25</v>
      </c>
      <c r="B33" s="23" t="s">
        <v>80</v>
      </c>
      <c r="C33" s="152"/>
      <c r="D33" s="155"/>
    </row>
    <row r="34" spans="1:4" ht="36" customHeight="1">
      <c r="A34" s="9" t="s">
        <v>26</v>
      </c>
      <c r="B34" s="22" t="s">
        <v>22</v>
      </c>
      <c r="C34" s="152"/>
      <c r="D34" s="155"/>
    </row>
    <row r="35" spans="1:4" ht="14.25" customHeight="1">
      <c r="A35" s="9" t="s">
        <v>27</v>
      </c>
      <c r="B35" s="22" t="s">
        <v>24</v>
      </c>
      <c r="C35" s="152"/>
      <c r="D35" s="155"/>
    </row>
    <row r="36" spans="1:4" ht="33.75" customHeight="1">
      <c r="A36" s="24" t="s">
        <v>28</v>
      </c>
      <c r="B36" s="22" t="s">
        <v>22</v>
      </c>
      <c r="C36" s="153"/>
      <c r="D36" s="156"/>
    </row>
    <row r="37" spans="1:4" ht="15.75" customHeight="1">
      <c r="A37" s="167" t="s">
        <v>65</v>
      </c>
      <c r="B37" s="167"/>
      <c r="C37" s="167"/>
      <c r="D37" s="167"/>
    </row>
    <row r="38" spans="1:4" ht="36.75" customHeight="1">
      <c r="A38" s="9" t="s">
        <v>66</v>
      </c>
      <c r="B38" s="22" t="s">
        <v>79</v>
      </c>
      <c r="C38" s="154">
        <v>1.19</v>
      </c>
      <c r="D38" s="152">
        <f>C38*B8*12</f>
        <v>48666.239999999998</v>
      </c>
    </row>
    <row r="39" spans="1:4" ht="14.25" customHeight="1">
      <c r="A39" s="9" t="s">
        <v>67</v>
      </c>
      <c r="B39" s="22" t="s">
        <v>80</v>
      </c>
      <c r="C39" s="154"/>
      <c r="D39" s="168"/>
    </row>
    <row r="40" spans="1:4" ht="14.25" customHeight="1">
      <c r="A40" s="9" t="s">
        <v>68</v>
      </c>
      <c r="B40" s="22" t="s">
        <v>80</v>
      </c>
      <c r="C40" s="154"/>
      <c r="D40" s="168"/>
    </row>
    <row r="41" spans="1:4" ht="24" customHeight="1">
      <c r="A41" s="9" t="s">
        <v>69</v>
      </c>
      <c r="B41" s="22" t="s">
        <v>79</v>
      </c>
      <c r="C41" s="154"/>
      <c r="D41" s="168"/>
    </row>
    <row r="42" spans="1:4" ht="25.5" customHeight="1">
      <c r="A42" s="10" t="s">
        <v>70</v>
      </c>
      <c r="B42" s="22" t="s">
        <v>79</v>
      </c>
      <c r="C42" s="154"/>
      <c r="D42" s="168"/>
    </row>
    <row r="43" spans="1:4" ht="14.25" customHeight="1">
      <c r="A43" s="9" t="s">
        <v>71</v>
      </c>
      <c r="B43" s="22" t="s">
        <v>24</v>
      </c>
      <c r="C43" s="154"/>
      <c r="D43" s="162"/>
    </row>
    <row r="44" spans="1:4" ht="11.25" customHeight="1">
      <c r="A44" s="169" t="s">
        <v>29</v>
      </c>
      <c r="B44" s="169"/>
      <c r="C44" s="169"/>
      <c r="D44" s="169"/>
    </row>
    <row r="45" spans="1:4" ht="35.25" customHeight="1">
      <c r="A45" s="9" t="s">
        <v>30</v>
      </c>
      <c r="B45" s="22" t="s">
        <v>22</v>
      </c>
      <c r="C45" s="154">
        <v>0.81</v>
      </c>
      <c r="D45" s="152">
        <f>C45*12*B8</f>
        <v>33125.760000000002</v>
      </c>
    </row>
    <row r="46" spans="1:4" ht="38.25" customHeight="1">
      <c r="A46" s="9" t="s">
        <v>31</v>
      </c>
      <c r="B46" s="22" t="s">
        <v>22</v>
      </c>
      <c r="C46" s="154"/>
      <c r="D46" s="152"/>
    </row>
    <row r="47" spans="1:4" ht="15" customHeight="1">
      <c r="A47" s="10" t="s">
        <v>32</v>
      </c>
      <c r="B47" s="22" t="s">
        <v>22</v>
      </c>
      <c r="C47" s="154"/>
      <c r="D47" s="152"/>
    </row>
    <row r="48" spans="1:4" ht="12.75" customHeight="1">
      <c r="A48" s="167" t="s">
        <v>33</v>
      </c>
      <c r="B48" s="167"/>
      <c r="C48" s="167"/>
      <c r="D48" s="167"/>
    </row>
    <row r="49" spans="1:4" ht="29.25" customHeight="1">
      <c r="A49" s="9" t="s">
        <v>34</v>
      </c>
      <c r="B49" s="22" t="s">
        <v>77</v>
      </c>
      <c r="C49" s="154">
        <v>1.2</v>
      </c>
      <c r="D49" s="154">
        <f>C49*12*B8+347.5</f>
        <v>49422.7</v>
      </c>
    </row>
    <row r="50" spans="1:4" ht="14.25" customHeight="1">
      <c r="A50" s="9" t="s">
        <v>35</v>
      </c>
      <c r="B50" s="22" t="s">
        <v>81</v>
      </c>
      <c r="C50" s="154"/>
      <c r="D50" s="154"/>
    </row>
    <row r="51" spans="1:4" ht="17.25" customHeight="1">
      <c r="A51" s="9" t="s">
        <v>36</v>
      </c>
      <c r="B51" s="22" t="s">
        <v>81</v>
      </c>
      <c r="C51" s="154"/>
      <c r="D51" s="154"/>
    </row>
    <row r="52" spans="1:4" ht="24.75" customHeight="1">
      <c r="A52" s="9" t="s">
        <v>37</v>
      </c>
      <c r="B52" s="22" t="s">
        <v>82</v>
      </c>
      <c r="C52" s="154"/>
      <c r="D52" s="154"/>
    </row>
    <row r="53" spans="1:4" ht="30" customHeight="1">
      <c r="A53" s="9" t="s">
        <v>38</v>
      </c>
      <c r="B53" s="22" t="s">
        <v>82</v>
      </c>
      <c r="C53" s="154"/>
      <c r="D53" s="154"/>
    </row>
    <row r="54" spans="1:4" ht="12.75" customHeight="1">
      <c r="A54" s="72" t="s">
        <v>95</v>
      </c>
      <c r="B54" s="6"/>
      <c r="C54" s="154"/>
      <c r="D54" s="154"/>
    </row>
    <row r="55" spans="1:4" ht="35.25" customHeight="1">
      <c r="A55" s="9" t="s">
        <v>40</v>
      </c>
      <c r="B55" s="22" t="s">
        <v>79</v>
      </c>
      <c r="C55" s="154"/>
      <c r="D55" s="154"/>
    </row>
    <row r="56" spans="1:4" ht="14.25" customHeight="1">
      <c r="A56" s="9" t="s">
        <v>41</v>
      </c>
      <c r="B56" s="22" t="s">
        <v>80</v>
      </c>
      <c r="C56" s="154"/>
      <c r="D56" s="154"/>
    </row>
    <row r="57" spans="1:4" ht="14.25" customHeight="1">
      <c r="A57" s="9" t="s">
        <v>42</v>
      </c>
      <c r="B57" s="23" t="s">
        <v>80</v>
      </c>
      <c r="C57" s="154"/>
      <c r="D57" s="154"/>
    </row>
    <row r="58" spans="1:4" ht="13.5" customHeight="1">
      <c r="A58" s="9" t="s">
        <v>43</v>
      </c>
      <c r="B58" s="23" t="s">
        <v>80</v>
      </c>
      <c r="C58" s="154"/>
      <c r="D58" s="154"/>
    </row>
    <row r="59" spans="1:4" ht="13.5" customHeight="1">
      <c r="A59" s="9" t="s">
        <v>44</v>
      </c>
      <c r="B59" s="21" t="s">
        <v>186</v>
      </c>
      <c r="C59" s="154"/>
      <c r="D59" s="154"/>
    </row>
    <row r="60" spans="1:4" ht="36.75" customHeight="1">
      <c r="A60" s="10" t="s">
        <v>45</v>
      </c>
      <c r="B60" s="22" t="s">
        <v>22</v>
      </c>
      <c r="C60" s="154"/>
      <c r="D60" s="154"/>
    </row>
    <row r="61" spans="1:4" ht="22.5" customHeight="1">
      <c r="A61" s="10"/>
      <c r="B61" s="22"/>
      <c r="C61" s="70"/>
      <c r="D61" s="70"/>
    </row>
    <row r="62" spans="1:4">
      <c r="A62" s="167" t="s">
        <v>46</v>
      </c>
      <c r="B62" s="167"/>
      <c r="C62" s="167"/>
      <c r="D62" s="167"/>
    </row>
    <row r="63" spans="1:4" ht="15.75" customHeight="1">
      <c r="A63" s="9" t="s">
        <v>47</v>
      </c>
      <c r="B63" s="22" t="s">
        <v>83</v>
      </c>
      <c r="C63" s="153">
        <v>1.2</v>
      </c>
      <c r="D63" s="166">
        <f>C63*B8*12</f>
        <v>49075.199999999997</v>
      </c>
    </row>
    <row r="64" spans="1:4" ht="12.75" customHeight="1">
      <c r="A64" s="9" t="s">
        <v>48</v>
      </c>
      <c r="B64" s="22" t="s">
        <v>83</v>
      </c>
      <c r="C64" s="168"/>
      <c r="D64" s="155"/>
    </row>
    <row r="65" spans="1:4" ht="26.25" customHeight="1">
      <c r="A65" s="9" t="s">
        <v>49</v>
      </c>
      <c r="B65" s="22" t="s">
        <v>83</v>
      </c>
      <c r="C65" s="168"/>
      <c r="D65" s="155"/>
    </row>
    <row r="66" spans="1:4" ht="16.5" customHeight="1">
      <c r="A66" s="9" t="s">
        <v>50</v>
      </c>
      <c r="B66" s="22" t="s">
        <v>83</v>
      </c>
      <c r="C66" s="168"/>
      <c r="D66" s="155"/>
    </row>
    <row r="67" spans="1:4" ht="39.75" customHeight="1">
      <c r="A67" s="10" t="s">
        <v>51</v>
      </c>
      <c r="B67" s="22" t="s">
        <v>22</v>
      </c>
      <c r="C67" s="168"/>
      <c r="D67" s="155"/>
    </row>
    <row r="68" spans="1:4" ht="16.5" customHeight="1">
      <c r="A68" s="10" t="s">
        <v>52</v>
      </c>
      <c r="B68" s="23" t="s">
        <v>84</v>
      </c>
      <c r="C68" s="162"/>
      <c r="D68" s="156"/>
    </row>
    <row r="69" spans="1:4" ht="16.5" customHeight="1">
      <c r="A69" s="53" t="s">
        <v>115</v>
      </c>
      <c r="B69" s="23" t="s">
        <v>116</v>
      </c>
      <c r="C69" s="87">
        <v>0.5</v>
      </c>
      <c r="D69" s="90">
        <f>C69*12*B8</f>
        <v>20448</v>
      </c>
    </row>
    <row r="70" spans="1:4">
      <c r="A70" s="157" t="s">
        <v>85</v>
      </c>
      <c r="B70" s="158"/>
      <c r="C70" s="158"/>
      <c r="D70" s="159"/>
    </row>
    <row r="71" spans="1:4" ht="26.25" customHeight="1">
      <c r="A71" s="175" t="s">
        <v>96</v>
      </c>
      <c r="B71" s="177" t="s">
        <v>86</v>
      </c>
      <c r="C71" s="152">
        <v>2.41</v>
      </c>
      <c r="D71" s="154">
        <f>C71*12*B8</f>
        <v>98559.360000000001</v>
      </c>
    </row>
    <row r="72" spans="1:4" ht="13.5" customHeight="1">
      <c r="A72" s="176"/>
      <c r="B72" s="177"/>
      <c r="C72" s="152"/>
      <c r="D72" s="154"/>
    </row>
    <row r="73" spans="1:4" ht="15" customHeight="1">
      <c r="A73" s="157" t="s">
        <v>55</v>
      </c>
      <c r="B73" s="158"/>
      <c r="C73" s="158"/>
      <c r="D73" s="159"/>
    </row>
    <row r="74" spans="1:4" ht="16.5" customHeight="1">
      <c r="A74" s="6" t="s">
        <v>90</v>
      </c>
      <c r="B74" s="21" t="s">
        <v>87</v>
      </c>
      <c r="C74" s="170">
        <v>2.14</v>
      </c>
      <c r="D74" s="172">
        <f>C74*12*B8</f>
        <v>87517.440000000002</v>
      </c>
    </row>
    <row r="75" spans="1:4">
      <c r="A75" s="6" t="s">
        <v>91</v>
      </c>
      <c r="B75" s="21" t="s">
        <v>87</v>
      </c>
      <c r="C75" s="171"/>
      <c r="D75" s="173"/>
    </row>
    <row r="76" spans="1:4" ht="15" customHeight="1">
      <c r="A76" s="6" t="s">
        <v>92</v>
      </c>
      <c r="B76" s="21" t="s">
        <v>87</v>
      </c>
      <c r="C76" s="169"/>
      <c r="D76" s="174"/>
    </row>
    <row r="77" spans="1:4" ht="38.25" customHeight="1">
      <c r="A77" s="6" t="s">
        <v>143</v>
      </c>
      <c r="B77" s="22" t="s">
        <v>22</v>
      </c>
      <c r="C77" s="69">
        <v>4.3499999999999996</v>
      </c>
      <c r="D77" s="69">
        <v>175296.45</v>
      </c>
    </row>
    <row r="78" spans="1:4" ht="18" customHeight="1">
      <c r="A78" s="6" t="s">
        <v>187</v>
      </c>
      <c r="B78" s="22"/>
      <c r="C78" s="69"/>
      <c r="D78" s="69">
        <f>-50.1*15.13*12</f>
        <v>-9096.1560000000009</v>
      </c>
    </row>
    <row r="79" spans="1:4">
      <c r="A79" s="72" t="s">
        <v>56</v>
      </c>
      <c r="B79" s="23"/>
      <c r="C79" s="28">
        <f>C77+C74+C71+C69+C63+C49+C45+C38+C31+C27+C20+C18+C17+C16+C13</f>
        <v>21.62</v>
      </c>
      <c r="D79" s="28">
        <f>D77+D74+D71+D69+D63+D49+D45+D38+D31+D27+D20+D18+D17+D16+D13+D78</f>
        <v>872821.71400000015</v>
      </c>
    </row>
    <row r="81" spans="4:4">
      <c r="D81" s="40"/>
    </row>
    <row r="82" spans="4:4">
      <c r="D82" s="40"/>
    </row>
    <row r="83" spans="4:4">
      <c r="D83" s="40"/>
    </row>
    <row r="84" spans="4:4">
      <c r="D84" s="40"/>
    </row>
    <row r="85" spans="4:4">
      <c r="D85" s="40"/>
    </row>
  </sheetData>
  <mergeCells count="33">
    <mergeCell ref="A73:D73"/>
    <mergeCell ref="C74:C76"/>
    <mergeCell ref="D74:D76"/>
    <mergeCell ref="C63:C68"/>
    <mergeCell ref="D63:D68"/>
    <mergeCell ref="A62:D62"/>
    <mergeCell ref="A70:D70"/>
    <mergeCell ref="A71:A72"/>
    <mergeCell ref="B71:B72"/>
    <mergeCell ref="C71:C72"/>
    <mergeCell ref="D71:D72"/>
    <mergeCell ref="A44:D44"/>
    <mergeCell ref="C45:C47"/>
    <mergeCell ref="D45:D47"/>
    <mergeCell ref="A48:D48"/>
    <mergeCell ref="C49:C60"/>
    <mergeCell ref="D49:D60"/>
    <mergeCell ref="D13:D14"/>
    <mergeCell ref="C38:C43"/>
    <mergeCell ref="D38:D43"/>
    <mergeCell ref="A12:D12"/>
    <mergeCell ref="C20:C25"/>
    <mergeCell ref="D20:D25"/>
    <mergeCell ref="A26:D26"/>
    <mergeCell ref="C27:C28"/>
    <mergeCell ref="D27:D28"/>
    <mergeCell ref="A29:D29"/>
    <mergeCell ref="A30:D30"/>
    <mergeCell ref="C31:C36"/>
    <mergeCell ref="D31:D36"/>
    <mergeCell ref="A37:D37"/>
    <mergeCell ref="B13:B14"/>
    <mergeCell ref="C13:C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83"/>
  <sheetViews>
    <sheetView topLeftCell="A10" workbookViewId="0">
      <selection activeCell="C79" sqref="C79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180</v>
      </c>
      <c r="B2" s="2"/>
      <c r="C2" s="2"/>
      <c r="D2" s="2"/>
    </row>
    <row r="3" spans="1:4">
      <c r="A3" s="1" t="s">
        <v>241</v>
      </c>
      <c r="B3" s="2"/>
      <c r="C3" s="2"/>
      <c r="D3" s="2"/>
    </row>
    <row r="4" spans="1:4">
      <c r="A4" s="25" t="s">
        <v>58</v>
      </c>
      <c r="B4" s="2">
        <v>1987</v>
      </c>
      <c r="C4" s="2"/>
      <c r="D4" s="2"/>
    </row>
    <row r="5" spans="1:4">
      <c r="A5" s="25" t="s">
        <v>59</v>
      </c>
      <c r="B5" s="2">
        <v>5</v>
      </c>
      <c r="C5" s="2"/>
      <c r="D5" s="2"/>
    </row>
    <row r="6" spans="1:4">
      <c r="A6" s="25" t="s">
        <v>60</v>
      </c>
      <c r="B6" s="2">
        <v>4</v>
      </c>
      <c r="C6" s="2"/>
      <c r="D6" s="2"/>
    </row>
    <row r="7" spans="1:4">
      <c r="A7" s="25" t="s">
        <v>61</v>
      </c>
      <c r="B7" s="2">
        <v>60</v>
      </c>
      <c r="C7" s="2"/>
      <c r="D7" s="2"/>
    </row>
    <row r="8" spans="1:4">
      <c r="A8" s="25" t="s">
        <v>72</v>
      </c>
      <c r="B8" s="2">
        <v>3341</v>
      </c>
      <c r="C8" s="2"/>
      <c r="D8" s="2"/>
    </row>
    <row r="9" spans="1:4">
      <c r="A9" s="25" t="s">
        <v>62</v>
      </c>
      <c r="B9" s="2">
        <v>296</v>
      </c>
      <c r="C9" s="2"/>
      <c r="D9" s="2"/>
    </row>
    <row r="10" spans="1:4" ht="36.75">
      <c r="A10" s="71" t="s">
        <v>1</v>
      </c>
      <c r="B10" s="71" t="s">
        <v>2</v>
      </c>
      <c r="C10" s="71" t="s">
        <v>3</v>
      </c>
      <c r="D10" s="71" t="s">
        <v>4</v>
      </c>
    </row>
    <row r="11" spans="1:4">
      <c r="A11" s="157" t="s">
        <v>5</v>
      </c>
      <c r="B11" s="158"/>
      <c r="C11" s="158"/>
      <c r="D11" s="159"/>
    </row>
    <row r="12" spans="1:4" ht="88.5" customHeight="1">
      <c r="A12" s="104" t="s">
        <v>6</v>
      </c>
      <c r="B12" s="160" t="s">
        <v>8</v>
      </c>
      <c r="C12" s="153">
        <v>1.02</v>
      </c>
      <c r="D12" s="163">
        <f>C12*12*B8</f>
        <v>40893.840000000004</v>
      </c>
    </row>
    <row r="13" spans="1:4" ht="75.75" customHeight="1">
      <c r="A13" s="103" t="s">
        <v>89</v>
      </c>
      <c r="B13" s="161"/>
      <c r="C13" s="162"/>
      <c r="D13" s="164"/>
    </row>
    <row r="14" spans="1:4">
      <c r="A14" s="6" t="s">
        <v>9</v>
      </c>
      <c r="B14" s="71"/>
      <c r="C14" s="26"/>
      <c r="D14" s="30"/>
    </row>
    <row r="15" spans="1:4">
      <c r="A15" s="6" t="s">
        <v>324</v>
      </c>
      <c r="B15" s="128" t="s">
        <v>88</v>
      </c>
      <c r="C15" s="44">
        <v>0.12</v>
      </c>
      <c r="D15" s="30">
        <f>C15*12*B8</f>
        <v>4811.04</v>
      </c>
    </row>
    <row r="16" spans="1:4">
      <c r="A16" s="6" t="s">
        <v>325</v>
      </c>
      <c r="B16" s="71" t="s">
        <v>105</v>
      </c>
      <c r="C16" s="44">
        <v>7.0000000000000007E-2</v>
      </c>
      <c r="D16" s="30">
        <f>C16*12*B8</f>
        <v>2806.44</v>
      </c>
    </row>
    <row r="17" spans="1:4">
      <c r="A17" s="74" t="s">
        <v>323</v>
      </c>
      <c r="B17" s="71" t="s">
        <v>108</v>
      </c>
      <c r="C17" s="44">
        <v>0.21</v>
      </c>
      <c r="D17" s="30">
        <f>C17*12*B8</f>
        <v>8419.32</v>
      </c>
    </row>
    <row r="18" spans="1:4">
      <c r="A18" s="74" t="s">
        <v>326</v>
      </c>
      <c r="B18" s="75" t="s">
        <v>88</v>
      </c>
      <c r="C18" s="76">
        <v>3.1</v>
      </c>
      <c r="D18" s="77">
        <f>C18*12*B8</f>
        <v>124285.20000000001</v>
      </c>
    </row>
    <row r="19" spans="1:4">
      <c r="A19" s="191" t="s">
        <v>10</v>
      </c>
      <c r="B19" s="192"/>
      <c r="C19" s="192"/>
      <c r="D19" s="193"/>
    </row>
    <row r="20" spans="1:4" ht="13.5" customHeight="1">
      <c r="A20" s="39" t="s">
        <v>97</v>
      </c>
      <c r="B20" s="72"/>
      <c r="C20" s="72"/>
      <c r="D20" s="72"/>
    </row>
    <row r="21" spans="1:4" ht="13.5" customHeight="1">
      <c r="A21" s="6" t="s">
        <v>11</v>
      </c>
      <c r="B21" s="71" t="s">
        <v>75</v>
      </c>
      <c r="C21" s="152">
        <v>2.16</v>
      </c>
      <c r="D21" s="166">
        <f>C21*12*B8</f>
        <v>86598.720000000001</v>
      </c>
    </row>
    <row r="22" spans="1:4" ht="12.75" customHeight="1">
      <c r="A22" s="6" t="s">
        <v>12</v>
      </c>
      <c r="B22" s="71" t="s">
        <v>75</v>
      </c>
      <c r="C22" s="152"/>
      <c r="D22" s="155"/>
    </row>
    <row r="23" spans="1:4" ht="14.25" customHeight="1">
      <c r="A23" s="6" t="s">
        <v>13</v>
      </c>
      <c r="B23" s="71" t="s">
        <v>75</v>
      </c>
      <c r="C23" s="152"/>
      <c r="D23" s="155"/>
    </row>
    <row r="24" spans="1:4" ht="13.5" customHeight="1">
      <c r="A24" s="6" t="s">
        <v>14</v>
      </c>
      <c r="B24" s="71" t="s">
        <v>108</v>
      </c>
      <c r="C24" s="152"/>
      <c r="D24" s="155"/>
    </row>
    <row r="25" spans="1:4" ht="12.75" customHeight="1">
      <c r="A25" s="39" t="s">
        <v>93</v>
      </c>
      <c r="B25" s="71"/>
      <c r="C25" s="152"/>
      <c r="D25" s="155"/>
    </row>
    <row r="26" spans="1:4" ht="30" customHeight="1">
      <c r="A26" s="6" t="s">
        <v>15</v>
      </c>
      <c r="B26" s="71" t="s">
        <v>94</v>
      </c>
      <c r="C26" s="152"/>
      <c r="D26" s="156"/>
    </row>
    <row r="27" spans="1:4" ht="12.75" customHeight="1">
      <c r="A27" s="157" t="s">
        <v>16</v>
      </c>
      <c r="B27" s="158"/>
      <c r="C27" s="158"/>
      <c r="D27" s="159"/>
    </row>
    <row r="28" spans="1:4" ht="12" customHeight="1">
      <c r="A28" s="7" t="s">
        <v>17</v>
      </c>
      <c r="B28" s="21" t="s">
        <v>78</v>
      </c>
      <c r="C28" s="152">
        <v>0.2</v>
      </c>
      <c r="D28" s="167">
        <f>C28*12*B8</f>
        <v>8018.4000000000015</v>
      </c>
    </row>
    <row r="29" spans="1:4" ht="12" customHeight="1">
      <c r="A29" s="7" t="s">
        <v>18</v>
      </c>
      <c r="B29" s="21" t="s">
        <v>77</v>
      </c>
      <c r="C29" s="152"/>
      <c r="D29" s="167"/>
    </row>
    <row r="30" spans="1:4" ht="13.5" customHeight="1">
      <c r="A30" s="157" t="s">
        <v>19</v>
      </c>
      <c r="B30" s="158"/>
      <c r="C30" s="158"/>
      <c r="D30" s="159"/>
    </row>
    <row r="31" spans="1:4">
      <c r="A31" s="167" t="s">
        <v>20</v>
      </c>
      <c r="B31" s="167"/>
      <c r="C31" s="167"/>
      <c r="D31" s="167"/>
    </row>
    <row r="32" spans="1:4" ht="37.5" customHeight="1">
      <c r="A32" s="8" t="s">
        <v>21</v>
      </c>
      <c r="B32" s="22" t="s">
        <v>79</v>
      </c>
      <c r="C32" s="152">
        <v>0.79</v>
      </c>
      <c r="D32" s="154">
        <f>C32*12*B8</f>
        <v>31672.68</v>
      </c>
    </row>
    <row r="33" spans="1:4" ht="15" customHeight="1">
      <c r="A33" s="9" t="s">
        <v>23</v>
      </c>
      <c r="B33" s="22" t="s">
        <v>108</v>
      </c>
      <c r="C33" s="152"/>
      <c r="D33" s="155"/>
    </row>
    <row r="34" spans="1:4" ht="13.5" customHeight="1">
      <c r="A34" s="9" t="s">
        <v>25</v>
      </c>
      <c r="B34" s="22" t="s">
        <v>108</v>
      </c>
      <c r="C34" s="152"/>
      <c r="D34" s="155"/>
    </row>
    <row r="35" spans="1:4" ht="36" customHeight="1">
      <c r="A35" s="9" t="s">
        <v>26</v>
      </c>
      <c r="B35" s="22" t="s">
        <v>22</v>
      </c>
      <c r="C35" s="152"/>
      <c r="D35" s="155"/>
    </row>
    <row r="36" spans="1:4" ht="14.25" customHeight="1">
      <c r="A36" s="9" t="s">
        <v>27</v>
      </c>
      <c r="B36" s="22" t="s">
        <v>108</v>
      </c>
      <c r="C36" s="152"/>
      <c r="D36" s="155"/>
    </row>
    <row r="37" spans="1:4" ht="33.75" customHeight="1">
      <c r="A37" s="24" t="s">
        <v>28</v>
      </c>
      <c r="B37" s="22" t="s">
        <v>22</v>
      </c>
      <c r="C37" s="153"/>
      <c r="D37" s="156"/>
    </row>
    <row r="38" spans="1:4" ht="15.75" customHeight="1">
      <c r="A38" s="167" t="s">
        <v>65</v>
      </c>
      <c r="B38" s="167"/>
      <c r="C38" s="167"/>
      <c r="D38" s="167"/>
    </row>
    <row r="39" spans="1:4" ht="36.75" customHeight="1">
      <c r="A39" s="9" t="s">
        <v>66</v>
      </c>
      <c r="B39" s="22" t="s">
        <v>79</v>
      </c>
      <c r="C39" s="154">
        <v>1.7</v>
      </c>
      <c r="D39" s="152">
        <f>C39*12*B8</f>
        <v>68156.399999999994</v>
      </c>
    </row>
    <row r="40" spans="1:4" ht="14.25" customHeight="1">
      <c r="A40" s="9" t="s">
        <v>67</v>
      </c>
      <c r="B40" s="22" t="s">
        <v>108</v>
      </c>
      <c r="C40" s="154"/>
      <c r="D40" s="168"/>
    </row>
    <row r="41" spans="1:4" ht="14.25" customHeight="1">
      <c r="A41" s="9" t="s">
        <v>68</v>
      </c>
      <c r="B41" s="22" t="s">
        <v>108</v>
      </c>
      <c r="C41" s="154"/>
      <c r="D41" s="168"/>
    </row>
    <row r="42" spans="1:4" ht="24" customHeight="1">
      <c r="A42" s="9" t="s">
        <v>69</v>
      </c>
      <c r="B42" s="22" t="s">
        <v>79</v>
      </c>
      <c r="C42" s="154"/>
      <c r="D42" s="168"/>
    </row>
    <row r="43" spans="1:4" ht="25.5" customHeight="1">
      <c r="A43" s="10" t="s">
        <v>70</v>
      </c>
      <c r="B43" s="22" t="s">
        <v>79</v>
      </c>
      <c r="C43" s="154"/>
      <c r="D43" s="168"/>
    </row>
    <row r="44" spans="1:4" ht="14.25" customHeight="1">
      <c r="A44" s="9" t="s">
        <v>71</v>
      </c>
      <c r="B44" s="22" t="s">
        <v>108</v>
      </c>
      <c r="C44" s="154"/>
      <c r="D44" s="162"/>
    </row>
    <row r="45" spans="1:4" ht="11.25" customHeight="1">
      <c r="A45" s="169" t="s">
        <v>29</v>
      </c>
      <c r="B45" s="169"/>
      <c r="C45" s="169"/>
      <c r="D45" s="169"/>
    </row>
    <row r="46" spans="1:4" ht="35.25" customHeight="1">
      <c r="A46" s="9" t="s">
        <v>30</v>
      </c>
      <c r="B46" s="22" t="s">
        <v>22</v>
      </c>
      <c r="C46" s="154">
        <v>0.91</v>
      </c>
      <c r="D46" s="152">
        <f>C46*12*B8</f>
        <v>36483.72</v>
      </c>
    </row>
    <row r="47" spans="1:4" ht="38.25" customHeight="1">
      <c r="A47" s="9" t="s">
        <v>31</v>
      </c>
      <c r="B47" s="22" t="s">
        <v>22</v>
      </c>
      <c r="C47" s="154"/>
      <c r="D47" s="152"/>
    </row>
    <row r="48" spans="1:4" ht="15" customHeight="1">
      <c r="A48" s="10" t="s">
        <v>32</v>
      </c>
      <c r="B48" s="22" t="s">
        <v>22</v>
      </c>
      <c r="C48" s="154"/>
      <c r="D48" s="152"/>
    </row>
    <row r="49" spans="1:4" ht="12.75" customHeight="1">
      <c r="A49" s="167" t="s">
        <v>33</v>
      </c>
      <c r="B49" s="167"/>
      <c r="C49" s="167"/>
      <c r="D49" s="167"/>
    </row>
    <row r="50" spans="1:4" ht="29.25" customHeight="1">
      <c r="A50" s="9" t="s">
        <v>34</v>
      </c>
      <c r="B50" s="22" t="s">
        <v>77</v>
      </c>
      <c r="C50" s="154">
        <v>1.57</v>
      </c>
      <c r="D50" s="154">
        <f>C50*12*B8</f>
        <v>62944.44</v>
      </c>
    </row>
    <row r="51" spans="1:4" ht="14.25" customHeight="1">
      <c r="A51" s="9" t="s">
        <v>35</v>
      </c>
      <c r="B51" s="23" t="s">
        <v>105</v>
      </c>
      <c r="C51" s="154"/>
      <c r="D51" s="154"/>
    </row>
    <row r="52" spans="1:4" ht="17.25" customHeight="1">
      <c r="A52" s="9" t="s">
        <v>36</v>
      </c>
      <c r="B52" s="23" t="s">
        <v>105</v>
      </c>
      <c r="C52" s="154"/>
      <c r="D52" s="154"/>
    </row>
    <row r="53" spans="1:4" ht="24.75" customHeight="1">
      <c r="A53" s="9" t="s">
        <v>37</v>
      </c>
      <c r="B53" s="22" t="s">
        <v>82</v>
      </c>
      <c r="C53" s="154"/>
      <c r="D53" s="154"/>
    </row>
    <row r="54" spans="1:4" ht="30" customHeight="1">
      <c r="A54" s="9" t="s">
        <v>38</v>
      </c>
      <c r="B54" s="22" t="s">
        <v>82</v>
      </c>
      <c r="C54" s="154"/>
      <c r="D54" s="154"/>
    </row>
    <row r="55" spans="1:4" ht="12.75" customHeight="1">
      <c r="A55" s="72" t="s">
        <v>95</v>
      </c>
      <c r="B55" s="6"/>
      <c r="C55" s="154"/>
      <c r="D55" s="154"/>
    </row>
    <row r="56" spans="1:4" ht="35.25" customHeight="1">
      <c r="A56" s="9" t="s">
        <v>40</v>
      </c>
      <c r="B56" s="22" t="s">
        <v>79</v>
      </c>
      <c r="C56" s="154"/>
      <c r="D56" s="154"/>
    </row>
    <row r="57" spans="1:4" ht="14.25" customHeight="1">
      <c r="A57" s="9" t="s">
        <v>41</v>
      </c>
      <c r="B57" s="22" t="s">
        <v>105</v>
      </c>
      <c r="C57" s="154"/>
      <c r="D57" s="154"/>
    </row>
    <row r="58" spans="1:4" ht="14.25" customHeight="1">
      <c r="A58" s="9" t="s">
        <v>42</v>
      </c>
      <c r="B58" s="22" t="s">
        <v>105</v>
      </c>
      <c r="C58" s="154"/>
      <c r="D58" s="154"/>
    </row>
    <row r="59" spans="1:4" ht="13.5" customHeight="1">
      <c r="A59" s="9" t="s">
        <v>43</v>
      </c>
      <c r="B59" s="22" t="s">
        <v>105</v>
      </c>
      <c r="C59" s="154"/>
      <c r="D59" s="154"/>
    </row>
    <row r="60" spans="1:4" ht="13.5" customHeight="1">
      <c r="A60" s="9" t="s">
        <v>44</v>
      </c>
      <c r="B60" s="21" t="s">
        <v>182</v>
      </c>
      <c r="C60" s="154"/>
      <c r="D60" s="154"/>
    </row>
    <row r="61" spans="1:4" ht="36.75" customHeight="1">
      <c r="A61" s="10" t="s">
        <v>45</v>
      </c>
      <c r="B61" s="22" t="s">
        <v>22</v>
      </c>
      <c r="C61" s="154"/>
      <c r="D61" s="154"/>
    </row>
    <row r="62" spans="1:4">
      <c r="A62" s="167" t="s">
        <v>46</v>
      </c>
      <c r="B62" s="167"/>
      <c r="C62" s="167"/>
      <c r="D62" s="167"/>
    </row>
    <row r="63" spans="1:4" ht="15.75" customHeight="1">
      <c r="A63" s="9" t="s">
        <v>47</v>
      </c>
      <c r="B63" s="22" t="s">
        <v>105</v>
      </c>
      <c r="C63" s="152">
        <v>0.87</v>
      </c>
      <c r="D63" s="154">
        <f>C63*12*B8-3340.7</f>
        <v>31539.34</v>
      </c>
    </row>
    <row r="64" spans="1:4" ht="12.75" customHeight="1">
      <c r="A64" s="9" t="s">
        <v>48</v>
      </c>
      <c r="B64" s="22" t="s">
        <v>105</v>
      </c>
      <c r="C64" s="152"/>
      <c r="D64" s="154"/>
    </row>
    <row r="65" spans="1:4" ht="34.5" customHeight="1">
      <c r="A65" s="9" t="s">
        <v>49</v>
      </c>
      <c r="B65" s="22" t="s">
        <v>105</v>
      </c>
      <c r="C65" s="152"/>
      <c r="D65" s="154"/>
    </row>
    <row r="66" spans="1:4" ht="16.5" customHeight="1">
      <c r="A66" s="9" t="s">
        <v>50</v>
      </c>
      <c r="B66" s="22" t="s">
        <v>105</v>
      </c>
      <c r="C66" s="152"/>
      <c r="D66" s="154"/>
    </row>
    <row r="67" spans="1:4" ht="39.75" customHeight="1">
      <c r="A67" s="10" t="s">
        <v>51</v>
      </c>
      <c r="B67" s="22" t="s">
        <v>22</v>
      </c>
      <c r="C67" s="152"/>
      <c r="D67" s="154"/>
    </row>
    <row r="68" spans="1:4" ht="16.5" customHeight="1">
      <c r="A68" s="10" t="s">
        <v>52</v>
      </c>
      <c r="B68" s="23" t="s">
        <v>105</v>
      </c>
      <c r="C68" s="152"/>
      <c r="D68" s="154"/>
    </row>
    <row r="69" spans="1:4">
      <c r="A69" s="157" t="s">
        <v>85</v>
      </c>
      <c r="B69" s="158"/>
      <c r="C69" s="158"/>
      <c r="D69" s="159"/>
    </row>
    <row r="70" spans="1:4" ht="26.25" customHeight="1">
      <c r="A70" s="175" t="s">
        <v>96</v>
      </c>
      <c r="B70" s="177" t="s">
        <v>86</v>
      </c>
      <c r="C70" s="152">
        <v>2.41</v>
      </c>
      <c r="D70" s="154">
        <f>C70*12*B8</f>
        <v>96621.72</v>
      </c>
    </row>
    <row r="71" spans="1:4" ht="13.5" customHeight="1">
      <c r="A71" s="176"/>
      <c r="B71" s="177"/>
      <c r="C71" s="152"/>
      <c r="D71" s="154"/>
    </row>
    <row r="72" spans="1:4" ht="15" customHeight="1">
      <c r="A72" s="157" t="s">
        <v>55</v>
      </c>
      <c r="B72" s="158"/>
      <c r="C72" s="158"/>
      <c r="D72" s="159"/>
    </row>
    <row r="73" spans="1:4" ht="16.5" customHeight="1">
      <c r="A73" s="6" t="s">
        <v>90</v>
      </c>
      <c r="B73" s="21" t="s">
        <v>87</v>
      </c>
      <c r="C73" s="170">
        <v>2.14</v>
      </c>
      <c r="D73" s="172">
        <f>7149.72+78645</f>
        <v>85794.72</v>
      </c>
    </row>
    <row r="74" spans="1:4">
      <c r="A74" s="6" t="s">
        <v>91</v>
      </c>
      <c r="B74" s="21" t="s">
        <v>87</v>
      </c>
      <c r="C74" s="171"/>
      <c r="D74" s="173"/>
    </row>
    <row r="75" spans="1:4" ht="15" customHeight="1">
      <c r="A75" s="6" t="s">
        <v>92</v>
      </c>
      <c r="B75" s="21" t="s">
        <v>87</v>
      </c>
      <c r="C75" s="169"/>
      <c r="D75" s="174"/>
    </row>
    <row r="76" spans="1:4" ht="38.25" customHeight="1">
      <c r="A76" s="6" t="s">
        <v>143</v>
      </c>
      <c r="B76" s="22" t="s">
        <v>22</v>
      </c>
      <c r="C76" s="69">
        <v>4.3499999999999996</v>
      </c>
      <c r="D76" s="69">
        <f>C76*12*B8</f>
        <v>174400.19999999998</v>
      </c>
    </row>
    <row r="77" spans="1:4" ht="18" customHeight="1">
      <c r="A77" s="6" t="s">
        <v>181</v>
      </c>
      <c r="B77" s="22"/>
      <c r="C77" s="69"/>
      <c r="D77" s="69">
        <f>-63.7*12*15.13</f>
        <v>-11565.372000000001</v>
      </c>
    </row>
    <row r="78" spans="1:4">
      <c r="A78" s="72" t="s">
        <v>56</v>
      </c>
      <c r="B78" s="23"/>
      <c r="C78" s="28">
        <f>C76+C73+C70+C63+C50+C46+C39+C32+C28+C21+C18+C17+C16+C15+C12</f>
        <v>21.62</v>
      </c>
      <c r="D78" s="28">
        <f>D76+D73+D70+D63+D50+D46+D39+D32+D28+D21+D18+D17+D16+D15+D12+D77</f>
        <v>851880.80799999996</v>
      </c>
    </row>
    <row r="80" spans="1:4">
      <c r="D80" s="40"/>
    </row>
    <row r="81" spans="4:4">
      <c r="D81" s="40"/>
    </row>
    <row r="82" spans="4:4">
      <c r="D82" s="40"/>
    </row>
    <row r="83" spans="4:4">
      <c r="D83" s="40"/>
    </row>
  </sheetData>
  <mergeCells count="34">
    <mergeCell ref="A49:D49"/>
    <mergeCell ref="A72:D72"/>
    <mergeCell ref="C73:C75"/>
    <mergeCell ref="D73:D75"/>
    <mergeCell ref="A62:D62"/>
    <mergeCell ref="C63:C68"/>
    <mergeCell ref="D63:D68"/>
    <mergeCell ref="A69:D69"/>
    <mergeCell ref="A70:A71"/>
    <mergeCell ref="B70:B71"/>
    <mergeCell ref="C70:C71"/>
    <mergeCell ref="D70:D71"/>
    <mergeCell ref="C50:C61"/>
    <mergeCell ref="D50:D61"/>
    <mergeCell ref="A38:D38"/>
    <mergeCell ref="A11:D11"/>
    <mergeCell ref="A19:D19"/>
    <mergeCell ref="C21:C26"/>
    <mergeCell ref="D21:D26"/>
    <mergeCell ref="A27:D27"/>
    <mergeCell ref="D12:D13"/>
    <mergeCell ref="B12:B13"/>
    <mergeCell ref="C12:C13"/>
    <mergeCell ref="C28:C29"/>
    <mergeCell ref="D28:D29"/>
    <mergeCell ref="A30:D30"/>
    <mergeCell ref="A31:D31"/>
    <mergeCell ref="C32:C37"/>
    <mergeCell ref="D32:D37"/>
    <mergeCell ref="A45:D45"/>
    <mergeCell ref="C46:C48"/>
    <mergeCell ref="D46:D48"/>
    <mergeCell ref="C39:C44"/>
    <mergeCell ref="D39:D4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81"/>
  <sheetViews>
    <sheetView topLeftCell="A19" workbookViewId="0">
      <selection activeCell="D76" sqref="D76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177</v>
      </c>
      <c r="B2" s="2"/>
      <c r="C2" s="2"/>
      <c r="D2" s="2"/>
    </row>
    <row r="3" spans="1:4">
      <c r="A3" s="1" t="s">
        <v>340</v>
      </c>
      <c r="B3" s="2"/>
      <c r="C3" s="2"/>
      <c r="D3" s="2"/>
    </row>
    <row r="4" spans="1:4">
      <c r="A4" s="25" t="s">
        <v>58</v>
      </c>
      <c r="B4" s="2">
        <v>1997</v>
      </c>
      <c r="C4" s="2"/>
      <c r="D4" s="2"/>
    </row>
    <row r="5" spans="1:4">
      <c r="A5" s="25" t="s">
        <v>59</v>
      </c>
      <c r="B5" s="2">
        <v>5</v>
      </c>
      <c r="C5" s="2"/>
      <c r="D5" s="2"/>
    </row>
    <row r="6" spans="1:4">
      <c r="A6" s="25" t="s">
        <v>60</v>
      </c>
      <c r="B6" s="2">
        <v>4</v>
      </c>
      <c r="C6" s="2"/>
      <c r="D6" s="2"/>
    </row>
    <row r="7" spans="1:4">
      <c r="A7" s="25" t="s">
        <v>61</v>
      </c>
      <c r="B7" s="2">
        <v>58</v>
      </c>
      <c r="C7" s="2"/>
      <c r="D7" s="2"/>
    </row>
    <row r="8" spans="1:4">
      <c r="A8" s="25" t="s">
        <v>72</v>
      </c>
      <c r="B8" s="2">
        <v>2808.5</v>
      </c>
      <c r="C8" s="2"/>
      <c r="D8" s="2"/>
    </row>
    <row r="9" spans="1:4">
      <c r="A9" s="25" t="s">
        <v>62</v>
      </c>
      <c r="B9" s="2">
        <v>241.1</v>
      </c>
      <c r="C9" s="2"/>
      <c r="D9" s="2"/>
    </row>
    <row r="10" spans="1:4">
      <c r="A10" s="25" t="s">
        <v>73</v>
      </c>
      <c r="B10" s="46">
        <v>581.79999999999995</v>
      </c>
      <c r="C10" s="2"/>
      <c r="D10" s="2"/>
    </row>
    <row r="11" spans="1:4" ht="36.75">
      <c r="A11" s="71" t="s">
        <v>1</v>
      </c>
      <c r="B11" s="71" t="s">
        <v>2</v>
      </c>
      <c r="C11" s="71" t="s">
        <v>3</v>
      </c>
      <c r="D11" s="71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1.28</v>
      </c>
      <c r="D13" s="163">
        <f>C13*12*B8</f>
        <v>43138.559999999998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6" t="s">
        <v>9</v>
      </c>
      <c r="B15" s="71"/>
      <c r="C15" s="26"/>
      <c r="D15" s="30"/>
    </row>
    <row r="16" spans="1:4">
      <c r="A16" s="6" t="s">
        <v>344</v>
      </c>
      <c r="B16" s="71" t="s">
        <v>117</v>
      </c>
      <c r="C16" s="44">
        <v>0.01</v>
      </c>
      <c r="D16" s="30">
        <f>C16*12*B8</f>
        <v>337.02</v>
      </c>
    </row>
    <row r="17" spans="1:4">
      <c r="A17" s="191" t="s">
        <v>10</v>
      </c>
      <c r="B17" s="192"/>
      <c r="C17" s="192"/>
      <c r="D17" s="193"/>
    </row>
    <row r="18" spans="1:4" ht="13.5" customHeight="1">
      <c r="A18" s="39" t="s">
        <v>97</v>
      </c>
      <c r="B18" s="72"/>
      <c r="C18" s="72"/>
      <c r="D18" s="72"/>
    </row>
    <row r="19" spans="1:4" ht="13.5" customHeight="1">
      <c r="A19" s="6" t="s">
        <v>11</v>
      </c>
      <c r="B19" s="71" t="s">
        <v>75</v>
      </c>
      <c r="C19" s="152">
        <v>2.16</v>
      </c>
      <c r="D19" s="166">
        <f>C19*12*B8</f>
        <v>72796.320000000007</v>
      </c>
    </row>
    <row r="20" spans="1:4" ht="12.75" customHeight="1">
      <c r="A20" s="6" t="s">
        <v>12</v>
      </c>
      <c r="B20" s="71" t="s">
        <v>75</v>
      </c>
      <c r="C20" s="152"/>
      <c r="D20" s="155"/>
    </row>
    <row r="21" spans="1:4" ht="14.25" customHeight="1">
      <c r="A21" s="6" t="s">
        <v>13</v>
      </c>
      <c r="B21" s="71" t="s">
        <v>75</v>
      </c>
      <c r="C21" s="152"/>
      <c r="D21" s="155"/>
    </row>
    <row r="22" spans="1:4" ht="13.5" customHeight="1">
      <c r="A22" s="6" t="s">
        <v>14</v>
      </c>
      <c r="B22" s="71" t="s">
        <v>76</v>
      </c>
      <c r="C22" s="152"/>
      <c r="D22" s="155"/>
    </row>
    <row r="23" spans="1:4" ht="12.75" customHeight="1">
      <c r="A23" s="39" t="s">
        <v>93</v>
      </c>
      <c r="B23" s="71"/>
      <c r="C23" s="152"/>
      <c r="D23" s="155"/>
    </row>
    <row r="24" spans="1:4" ht="30" customHeight="1">
      <c r="A24" s="6" t="s">
        <v>15</v>
      </c>
      <c r="B24" s="71" t="s">
        <v>94</v>
      </c>
      <c r="C24" s="152"/>
      <c r="D24" s="156"/>
    </row>
    <row r="25" spans="1:4" ht="12.75" customHeight="1">
      <c r="A25" s="157" t="s">
        <v>16</v>
      </c>
      <c r="B25" s="158"/>
      <c r="C25" s="158"/>
      <c r="D25" s="159"/>
    </row>
    <row r="26" spans="1:4" ht="12" customHeight="1">
      <c r="A26" s="7" t="s">
        <v>17</v>
      </c>
      <c r="B26" s="21" t="s">
        <v>78</v>
      </c>
      <c r="C26" s="152">
        <v>0.2</v>
      </c>
      <c r="D26" s="167">
        <f>C26*12*B8</f>
        <v>6740.4000000000005</v>
      </c>
    </row>
    <row r="27" spans="1:4" ht="12" customHeight="1">
      <c r="A27" s="7" t="s">
        <v>18</v>
      </c>
      <c r="B27" s="21" t="s">
        <v>77</v>
      </c>
      <c r="C27" s="152"/>
      <c r="D27" s="167"/>
    </row>
    <row r="28" spans="1:4" ht="13.5" customHeight="1">
      <c r="A28" s="157" t="s">
        <v>19</v>
      </c>
      <c r="B28" s="158"/>
      <c r="C28" s="158"/>
      <c r="D28" s="159"/>
    </row>
    <row r="29" spans="1:4">
      <c r="A29" s="167" t="s">
        <v>20</v>
      </c>
      <c r="B29" s="167"/>
      <c r="C29" s="167"/>
      <c r="D29" s="167"/>
    </row>
    <row r="30" spans="1:4" ht="37.5" customHeight="1">
      <c r="A30" s="8" t="s">
        <v>21</v>
      </c>
      <c r="B30" s="22" t="s">
        <v>79</v>
      </c>
      <c r="C30" s="152">
        <v>0.79</v>
      </c>
      <c r="D30" s="154">
        <f>C30*12*B8</f>
        <v>26624.58</v>
      </c>
    </row>
    <row r="31" spans="1:4" ht="15" customHeight="1">
      <c r="A31" s="9" t="s">
        <v>23</v>
      </c>
      <c r="B31" s="23" t="s">
        <v>80</v>
      </c>
      <c r="C31" s="152"/>
      <c r="D31" s="155"/>
    </row>
    <row r="32" spans="1:4" ht="13.5" customHeight="1">
      <c r="A32" s="9" t="s">
        <v>25</v>
      </c>
      <c r="B32" s="23" t="s">
        <v>80</v>
      </c>
      <c r="C32" s="152"/>
      <c r="D32" s="155"/>
    </row>
    <row r="33" spans="1:4" ht="36" customHeight="1">
      <c r="A33" s="9" t="s">
        <v>26</v>
      </c>
      <c r="B33" s="22" t="s">
        <v>22</v>
      </c>
      <c r="C33" s="152"/>
      <c r="D33" s="155"/>
    </row>
    <row r="34" spans="1:4" ht="14.25" customHeight="1">
      <c r="A34" s="9" t="s">
        <v>27</v>
      </c>
      <c r="B34" s="22" t="s">
        <v>24</v>
      </c>
      <c r="C34" s="152"/>
      <c r="D34" s="155"/>
    </row>
    <row r="35" spans="1:4" ht="33.75" customHeight="1">
      <c r="A35" s="24" t="s">
        <v>28</v>
      </c>
      <c r="B35" s="22" t="s">
        <v>22</v>
      </c>
      <c r="C35" s="153"/>
      <c r="D35" s="156"/>
    </row>
    <row r="36" spans="1:4" ht="15.75" customHeight="1">
      <c r="A36" s="167" t="s">
        <v>65</v>
      </c>
      <c r="B36" s="167"/>
      <c r="C36" s="167"/>
      <c r="D36" s="167"/>
    </row>
    <row r="37" spans="1:4" ht="36.75" customHeight="1">
      <c r="A37" s="9" t="s">
        <v>66</v>
      </c>
      <c r="B37" s="22" t="s">
        <v>79</v>
      </c>
      <c r="C37" s="154">
        <v>1.29</v>
      </c>
      <c r="D37" s="152">
        <f>C37*12*B8</f>
        <v>43475.58</v>
      </c>
    </row>
    <row r="38" spans="1:4" ht="14.25" customHeight="1">
      <c r="A38" s="9" t="s">
        <v>67</v>
      </c>
      <c r="B38" s="22" t="s">
        <v>80</v>
      </c>
      <c r="C38" s="154"/>
      <c r="D38" s="168"/>
    </row>
    <row r="39" spans="1:4" ht="14.25" customHeight="1">
      <c r="A39" s="9" t="s">
        <v>68</v>
      </c>
      <c r="B39" s="22" t="s">
        <v>80</v>
      </c>
      <c r="C39" s="154"/>
      <c r="D39" s="168"/>
    </row>
    <row r="40" spans="1:4" ht="24" customHeight="1">
      <c r="A40" s="9" t="s">
        <v>69</v>
      </c>
      <c r="B40" s="22" t="s">
        <v>79</v>
      </c>
      <c r="C40" s="154"/>
      <c r="D40" s="168"/>
    </row>
    <row r="41" spans="1:4" ht="25.5" customHeight="1">
      <c r="A41" s="10" t="s">
        <v>70</v>
      </c>
      <c r="B41" s="22" t="s">
        <v>79</v>
      </c>
      <c r="C41" s="154"/>
      <c r="D41" s="168"/>
    </row>
    <row r="42" spans="1:4" ht="14.25" customHeight="1">
      <c r="A42" s="9" t="s">
        <v>71</v>
      </c>
      <c r="B42" s="22" t="s">
        <v>168</v>
      </c>
      <c r="C42" s="154"/>
      <c r="D42" s="162"/>
    </row>
    <row r="43" spans="1:4" ht="11.25" customHeight="1">
      <c r="A43" s="169" t="s">
        <v>29</v>
      </c>
      <c r="B43" s="169"/>
      <c r="C43" s="169"/>
      <c r="D43" s="169"/>
    </row>
    <row r="44" spans="1:4" ht="35.25" customHeight="1">
      <c r="A44" s="9" t="s">
        <v>30</v>
      </c>
      <c r="B44" s="22" t="s">
        <v>22</v>
      </c>
      <c r="C44" s="154">
        <v>1.76</v>
      </c>
      <c r="D44" s="152">
        <f>C44*12*B8</f>
        <v>59315.520000000004</v>
      </c>
    </row>
    <row r="45" spans="1:4" ht="38.25" customHeight="1">
      <c r="A45" s="9" t="s">
        <v>31</v>
      </c>
      <c r="B45" s="22" t="s">
        <v>22</v>
      </c>
      <c r="C45" s="154"/>
      <c r="D45" s="152"/>
    </row>
    <row r="46" spans="1:4" ht="15" customHeight="1">
      <c r="A46" s="10" t="s">
        <v>32</v>
      </c>
      <c r="B46" s="22" t="s">
        <v>22</v>
      </c>
      <c r="C46" s="154"/>
      <c r="D46" s="152"/>
    </row>
    <row r="47" spans="1:4" ht="12.75" customHeight="1">
      <c r="A47" s="167" t="s">
        <v>33</v>
      </c>
      <c r="B47" s="167"/>
      <c r="C47" s="167"/>
      <c r="D47" s="167"/>
    </row>
    <row r="48" spans="1:4" ht="29.25" customHeight="1">
      <c r="A48" s="9" t="s">
        <v>34</v>
      </c>
      <c r="B48" s="22" t="s">
        <v>77</v>
      </c>
      <c r="C48" s="154">
        <v>2.96</v>
      </c>
      <c r="D48" s="154">
        <f>C48*12*B8</f>
        <v>99757.919999999984</v>
      </c>
    </row>
    <row r="49" spans="1:4" ht="14.25" customHeight="1">
      <c r="A49" s="9" t="s">
        <v>35</v>
      </c>
      <c r="B49" s="22" t="s">
        <v>81</v>
      </c>
      <c r="C49" s="154"/>
      <c r="D49" s="154"/>
    </row>
    <row r="50" spans="1:4" ht="17.25" customHeight="1">
      <c r="A50" s="9" t="s">
        <v>36</v>
      </c>
      <c r="B50" s="22" t="s">
        <v>81</v>
      </c>
      <c r="C50" s="154"/>
      <c r="D50" s="154"/>
    </row>
    <row r="51" spans="1:4" ht="24.75" customHeight="1">
      <c r="A51" s="9" t="s">
        <v>37</v>
      </c>
      <c r="B51" s="22" t="s">
        <v>82</v>
      </c>
      <c r="C51" s="154"/>
      <c r="D51" s="154"/>
    </row>
    <row r="52" spans="1:4" ht="30" customHeight="1">
      <c r="A52" s="9" t="s">
        <v>38</v>
      </c>
      <c r="B52" s="22" t="s">
        <v>82</v>
      </c>
      <c r="C52" s="154"/>
      <c r="D52" s="154"/>
    </row>
    <row r="53" spans="1:4" ht="12.75" customHeight="1">
      <c r="A53" s="72" t="s">
        <v>95</v>
      </c>
      <c r="B53" s="6"/>
      <c r="C53" s="154"/>
      <c r="D53" s="154"/>
    </row>
    <row r="54" spans="1:4" ht="35.25" customHeight="1">
      <c r="A54" s="9" t="s">
        <v>40</v>
      </c>
      <c r="B54" s="22" t="s">
        <v>79</v>
      </c>
      <c r="C54" s="154"/>
      <c r="D54" s="154"/>
    </row>
    <row r="55" spans="1:4" ht="14.25" customHeight="1">
      <c r="A55" s="9" t="s">
        <v>41</v>
      </c>
      <c r="B55" s="22" t="s">
        <v>80</v>
      </c>
      <c r="C55" s="154"/>
      <c r="D55" s="154"/>
    </row>
    <row r="56" spans="1:4" ht="14.25" customHeight="1">
      <c r="A56" s="9" t="s">
        <v>42</v>
      </c>
      <c r="B56" s="23" t="s">
        <v>80</v>
      </c>
      <c r="C56" s="154"/>
      <c r="D56" s="154"/>
    </row>
    <row r="57" spans="1:4" ht="13.5" customHeight="1">
      <c r="A57" s="9" t="s">
        <v>43</v>
      </c>
      <c r="B57" s="23" t="s">
        <v>80</v>
      </c>
      <c r="C57" s="154"/>
      <c r="D57" s="154"/>
    </row>
    <row r="58" spans="1:4" ht="13.5" customHeight="1">
      <c r="A58" s="9" t="s">
        <v>44</v>
      </c>
      <c r="B58" s="21" t="s">
        <v>178</v>
      </c>
      <c r="C58" s="154"/>
      <c r="D58" s="154"/>
    </row>
    <row r="59" spans="1:4" ht="36.75" customHeight="1">
      <c r="A59" s="10" t="s">
        <v>45</v>
      </c>
      <c r="B59" s="22" t="s">
        <v>22</v>
      </c>
      <c r="C59" s="154"/>
      <c r="D59" s="154"/>
    </row>
    <row r="60" spans="1:4">
      <c r="A60" s="167" t="s">
        <v>46</v>
      </c>
      <c r="B60" s="167"/>
      <c r="C60" s="167"/>
      <c r="D60" s="167"/>
    </row>
    <row r="61" spans="1:4" ht="15.75" customHeight="1">
      <c r="A61" s="9" t="s">
        <v>47</v>
      </c>
      <c r="B61" s="22" t="s">
        <v>83</v>
      </c>
      <c r="C61" s="152">
        <v>2.27</v>
      </c>
      <c r="D61" s="154">
        <f>C61*12*B8+0.32</f>
        <v>76503.860000000015</v>
      </c>
    </row>
    <row r="62" spans="1:4" ht="24" customHeight="1">
      <c r="A62" s="9" t="s">
        <v>48</v>
      </c>
      <c r="B62" s="22" t="s">
        <v>83</v>
      </c>
      <c r="C62" s="152"/>
      <c r="D62" s="154"/>
    </row>
    <row r="63" spans="1:4" ht="25.5" customHeight="1">
      <c r="A63" s="9" t="s">
        <v>49</v>
      </c>
      <c r="B63" s="22" t="s">
        <v>83</v>
      </c>
      <c r="C63" s="152"/>
      <c r="D63" s="154"/>
    </row>
    <row r="64" spans="1:4" ht="16.5" customHeight="1">
      <c r="A64" s="9" t="s">
        <v>50</v>
      </c>
      <c r="B64" s="22" t="s">
        <v>83</v>
      </c>
      <c r="C64" s="152"/>
      <c r="D64" s="154"/>
    </row>
    <row r="65" spans="1:4" ht="39.75" customHeight="1">
      <c r="A65" s="10" t="s">
        <v>51</v>
      </c>
      <c r="B65" s="22" t="s">
        <v>22</v>
      </c>
      <c r="C65" s="152"/>
      <c r="D65" s="154"/>
    </row>
    <row r="66" spans="1:4" ht="16.5" customHeight="1">
      <c r="A66" s="10" t="s">
        <v>52</v>
      </c>
      <c r="B66" s="23" t="s">
        <v>84</v>
      </c>
      <c r="C66" s="152"/>
      <c r="D66" s="154"/>
    </row>
    <row r="67" spans="1:4">
      <c r="A67" s="157" t="s">
        <v>85</v>
      </c>
      <c r="B67" s="158"/>
      <c r="C67" s="158"/>
      <c r="D67" s="159"/>
    </row>
    <row r="68" spans="1:4" ht="26.25" customHeight="1">
      <c r="A68" s="175" t="s">
        <v>96</v>
      </c>
      <c r="B68" s="177" t="s">
        <v>86</v>
      </c>
      <c r="C68" s="152">
        <v>2.41</v>
      </c>
      <c r="D68" s="154">
        <f>C68*12*B8</f>
        <v>81221.820000000007</v>
      </c>
    </row>
    <row r="69" spans="1:4" ht="13.5" customHeight="1">
      <c r="A69" s="176"/>
      <c r="B69" s="177"/>
      <c r="C69" s="152"/>
      <c r="D69" s="154"/>
    </row>
    <row r="70" spans="1:4" ht="15" customHeight="1">
      <c r="A70" s="157" t="s">
        <v>55</v>
      </c>
      <c r="B70" s="158"/>
      <c r="C70" s="158"/>
      <c r="D70" s="159"/>
    </row>
    <row r="71" spans="1:4" ht="16.5" customHeight="1">
      <c r="A71" s="6" t="s">
        <v>90</v>
      </c>
      <c r="B71" s="21" t="s">
        <v>87</v>
      </c>
      <c r="C71" s="170">
        <v>2.14</v>
      </c>
      <c r="D71" s="172">
        <f>6010.2+66112.6</f>
        <v>72122.8</v>
      </c>
    </row>
    <row r="72" spans="1:4">
      <c r="A72" s="6" t="s">
        <v>91</v>
      </c>
      <c r="B72" s="21" t="s">
        <v>87</v>
      </c>
      <c r="C72" s="171"/>
      <c r="D72" s="173"/>
    </row>
    <row r="73" spans="1:4" ht="15" customHeight="1">
      <c r="A73" s="6" t="s">
        <v>92</v>
      </c>
      <c r="B73" s="21" t="s">
        <v>87</v>
      </c>
      <c r="C73" s="169"/>
      <c r="D73" s="174"/>
    </row>
    <row r="74" spans="1:4" ht="38.25" customHeight="1">
      <c r="A74" s="6" t="s">
        <v>143</v>
      </c>
      <c r="B74" s="22" t="s">
        <v>22</v>
      </c>
      <c r="C74" s="69">
        <v>4.3499999999999996</v>
      </c>
      <c r="D74" s="69">
        <v>143499.47</v>
      </c>
    </row>
    <row r="75" spans="1:4" ht="18" customHeight="1">
      <c r="A75" s="6" t="s">
        <v>179</v>
      </c>
      <c r="B75" s="22"/>
      <c r="C75" s="69"/>
      <c r="D75" s="69">
        <f>-59.5*15.13*12</f>
        <v>-10802.82</v>
      </c>
    </row>
    <row r="76" spans="1:4">
      <c r="A76" s="72" t="s">
        <v>56</v>
      </c>
      <c r="B76" s="23"/>
      <c r="C76" s="28">
        <f>C74+C71+C68+C61+C48+C44+C37+C30+C26+C19+C16+C13</f>
        <v>21.62</v>
      </c>
      <c r="D76" s="28">
        <f>D74+D71+D68+D61+D48+D44+D37+D30+D26+D19+D16+D13+D75</f>
        <v>714731.03000000014</v>
      </c>
    </row>
    <row r="78" spans="1:4">
      <c r="D78" s="40"/>
    </row>
    <row r="79" spans="1:4">
      <c r="D79" s="40"/>
    </row>
    <row r="80" spans="1:4">
      <c r="D80" s="40"/>
    </row>
    <row r="81" spans="4:4">
      <c r="D81" s="40"/>
    </row>
  </sheetData>
  <mergeCells count="34">
    <mergeCell ref="C48:C59"/>
    <mergeCell ref="D48:D59"/>
    <mergeCell ref="A70:D70"/>
    <mergeCell ref="C71:C73"/>
    <mergeCell ref="D71:D73"/>
    <mergeCell ref="A60:D60"/>
    <mergeCell ref="C61:C66"/>
    <mergeCell ref="D61:D66"/>
    <mergeCell ref="A67:D67"/>
    <mergeCell ref="A68:A69"/>
    <mergeCell ref="B68:B69"/>
    <mergeCell ref="C68:C69"/>
    <mergeCell ref="D68:D69"/>
    <mergeCell ref="A43:D43"/>
    <mergeCell ref="C44:C46"/>
    <mergeCell ref="D44:D46"/>
    <mergeCell ref="A47:D47"/>
    <mergeCell ref="D13:D14"/>
    <mergeCell ref="C37:C42"/>
    <mergeCell ref="D37:D42"/>
    <mergeCell ref="C26:C27"/>
    <mergeCell ref="D26:D27"/>
    <mergeCell ref="A28:D28"/>
    <mergeCell ref="A29:D29"/>
    <mergeCell ref="C30:C35"/>
    <mergeCell ref="D30:D35"/>
    <mergeCell ref="A36:D36"/>
    <mergeCell ref="A12:D12"/>
    <mergeCell ref="A17:D17"/>
    <mergeCell ref="C19:C24"/>
    <mergeCell ref="D19:D24"/>
    <mergeCell ref="A25:D25"/>
    <mergeCell ref="B13:B14"/>
    <mergeCell ref="C13:C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80"/>
  <sheetViews>
    <sheetView topLeftCell="A49" workbookViewId="0">
      <selection activeCell="D75" sqref="D75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175</v>
      </c>
      <c r="B2" s="2"/>
      <c r="C2" s="2"/>
      <c r="D2" s="2"/>
    </row>
    <row r="3" spans="1:4">
      <c r="A3" s="1" t="s">
        <v>268</v>
      </c>
      <c r="B3" s="2"/>
      <c r="C3" s="2"/>
      <c r="D3" s="2"/>
    </row>
    <row r="4" spans="1:4">
      <c r="A4" s="25" t="s">
        <v>58</v>
      </c>
      <c r="B4" s="2">
        <v>1994</v>
      </c>
      <c r="C4" s="2"/>
      <c r="D4" s="2"/>
    </row>
    <row r="5" spans="1:4">
      <c r="A5" s="25" t="s">
        <v>59</v>
      </c>
      <c r="B5" s="2">
        <v>5</v>
      </c>
      <c r="C5" s="2"/>
      <c r="D5" s="2"/>
    </row>
    <row r="6" spans="1:4">
      <c r="A6" s="25" t="s">
        <v>60</v>
      </c>
      <c r="B6" s="2">
        <v>3</v>
      </c>
      <c r="C6" s="2"/>
      <c r="D6" s="2"/>
    </row>
    <row r="7" spans="1:4">
      <c r="A7" s="25" t="s">
        <v>61</v>
      </c>
      <c r="B7" s="2">
        <v>55</v>
      </c>
      <c r="C7" s="2"/>
      <c r="D7" s="2"/>
    </row>
    <row r="8" spans="1:4">
      <c r="A8" s="25" t="s">
        <v>72</v>
      </c>
      <c r="B8" s="2">
        <v>2897.3</v>
      </c>
      <c r="C8" s="2"/>
      <c r="D8" s="2"/>
    </row>
    <row r="9" spans="1:4">
      <c r="A9" s="25" t="s">
        <v>62</v>
      </c>
      <c r="B9" s="2">
        <v>244.6</v>
      </c>
      <c r="C9" s="2"/>
      <c r="D9" s="2"/>
    </row>
    <row r="10" spans="1:4">
      <c r="A10" s="25" t="s">
        <v>73</v>
      </c>
      <c r="B10" s="46">
        <v>666.5</v>
      </c>
      <c r="C10" s="2"/>
      <c r="D10" s="2"/>
    </row>
    <row r="11" spans="1:4" ht="36.75">
      <c r="A11" s="71" t="s">
        <v>1</v>
      </c>
      <c r="B11" s="71" t="s">
        <v>2</v>
      </c>
      <c r="C11" s="71" t="s">
        <v>3</v>
      </c>
      <c r="D11" s="71" t="s">
        <v>4</v>
      </c>
    </row>
    <row r="12" spans="1:4">
      <c r="A12" s="178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2.4300000000000002</v>
      </c>
      <c r="D13" s="163">
        <f>C13*12*B8</f>
        <v>84485.268000000011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103" t="s">
        <v>9</v>
      </c>
      <c r="B15" s="71"/>
      <c r="C15" s="26"/>
      <c r="D15" s="30"/>
    </row>
    <row r="16" spans="1:4">
      <c r="A16" s="6" t="s">
        <v>269</v>
      </c>
      <c r="B16" s="113" t="s">
        <v>117</v>
      </c>
      <c r="C16" s="44">
        <v>0.85</v>
      </c>
      <c r="D16" s="30">
        <f>C16*12*B8</f>
        <v>29552.46</v>
      </c>
    </row>
    <row r="17" spans="1:4">
      <c r="A17" s="191" t="s">
        <v>10</v>
      </c>
      <c r="B17" s="192"/>
      <c r="C17" s="192"/>
      <c r="D17" s="193"/>
    </row>
    <row r="18" spans="1:4" ht="13.5" customHeight="1">
      <c r="A18" s="39" t="s">
        <v>97</v>
      </c>
      <c r="B18" s="72"/>
      <c r="C18" s="72"/>
      <c r="D18" s="72"/>
    </row>
    <row r="19" spans="1:4" ht="13.5" customHeight="1">
      <c r="A19" s="6" t="s">
        <v>11</v>
      </c>
      <c r="B19" s="71" t="s">
        <v>75</v>
      </c>
      <c r="C19" s="152">
        <v>2.16</v>
      </c>
      <c r="D19" s="166">
        <f>C19*12*B8</f>
        <v>75098.016000000003</v>
      </c>
    </row>
    <row r="20" spans="1:4" ht="12.75" customHeight="1">
      <c r="A20" s="6" t="s">
        <v>12</v>
      </c>
      <c r="B20" s="71" t="s">
        <v>75</v>
      </c>
      <c r="C20" s="152"/>
      <c r="D20" s="155"/>
    </row>
    <row r="21" spans="1:4" ht="14.25" customHeight="1">
      <c r="A21" s="6" t="s">
        <v>13</v>
      </c>
      <c r="B21" s="71" t="s">
        <v>75</v>
      </c>
      <c r="C21" s="152"/>
      <c r="D21" s="155"/>
    </row>
    <row r="22" spans="1:4" ht="13.5" customHeight="1">
      <c r="A22" s="6" t="s">
        <v>14</v>
      </c>
      <c r="B22" s="71" t="s">
        <v>76</v>
      </c>
      <c r="C22" s="152"/>
      <c r="D22" s="155"/>
    </row>
    <row r="23" spans="1:4" ht="12.75" customHeight="1">
      <c r="A23" s="39" t="s">
        <v>93</v>
      </c>
      <c r="B23" s="71"/>
      <c r="C23" s="152"/>
      <c r="D23" s="155"/>
    </row>
    <row r="24" spans="1:4" ht="30" customHeight="1">
      <c r="A24" s="6" t="s">
        <v>15</v>
      </c>
      <c r="B24" s="71" t="s">
        <v>94</v>
      </c>
      <c r="C24" s="152"/>
      <c r="D24" s="156"/>
    </row>
    <row r="25" spans="1:4" ht="12.75" customHeight="1">
      <c r="A25" s="157" t="s">
        <v>16</v>
      </c>
      <c r="B25" s="158"/>
      <c r="C25" s="158"/>
      <c r="D25" s="159"/>
    </row>
    <row r="26" spans="1:4" ht="12" customHeight="1">
      <c r="A26" s="7" t="s">
        <v>17</v>
      </c>
      <c r="B26" s="21" t="s">
        <v>78</v>
      </c>
      <c r="C26" s="152">
        <v>0.2</v>
      </c>
      <c r="D26" s="167">
        <f>C26*12*B8</f>
        <v>6953.5200000000013</v>
      </c>
    </row>
    <row r="27" spans="1:4" ht="12" customHeight="1">
      <c r="A27" s="7" t="s">
        <v>18</v>
      </c>
      <c r="B27" s="21" t="s">
        <v>77</v>
      </c>
      <c r="C27" s="152"/>
      <c r="D27" s="167"/>
    </row>
    <row r="28" spans="1:4" ht="13.5" customHeight="1">
      <c r="A28" s="157" t="s">
        <v>19</v>
      </c>
      <c r="B28" s="158"/>
      <c r="C28" s="158"/>
      <c r="D28" s="159"/>
    </row>
    <row r="29" spans="1:4">
      <c r="A29" s="167" t="s">
        <v>20</v>
      </c>
      <c r="B29" s="167"/>
      <c r="C29" s="167"/>
      <c r="D29" s="167"/>
    </row>
    <row r="30" spans="1:4" ht="37.5" customHeight="1">
      <c r="A30" s="8" t="s">
        <v>21</v>
      </c>
      <c r="B30" s="22" t="s">
        <v>79</v>
      </c>
      <c r="C30" s="152">
        <v>0.52</v>
      </c>
      <c r="D30" s="154">
        <f>C30*12*B8</f>
        <v>18079.152000000002</v>
      </c>
    </row>
    <row r="31" spans="1:4" ht="15" customHeight="1">
      <c r="A31" s="9" t="s">
        <v>23</v>
      </c>
      <c r="B31" s="23" t="s">
        <v>80</v>
      </c>
      <c r="C31" s="152"/>
      <c r="D31" s="155"/>
    </row>
    <row r="32" spans="1:4" ht="13.5" customHeight="1">
      <c r="A32" s="9" t="s">
        <v>25</v>
      </c>
      <c r="B32" s="23" t="s">
        <v>80</v>
      </c>
      <c r="C32" s="152"/>
      <c r="D32" s="155"/>
    </row>
    <row r="33" spans="1:4" ht="36" customHeight="1">
      <c r="A33" s="9" t="s">
        <v>26</v>
      </c>
      <c r="B33" s="22" t="s">
        <v>22</v>
      </c>
      <c r="C33" s="152"/>
      <c r="D33" s="155"/>
    </row>
    <row r="34" spans="1:4" ht="14.25" customHeight="1">
      <c r="A34" s="9" t="s">
        <v>27</v>
      </c>
      <c r="B34" s="22" t="s">
        <v>24</v>
      </c>
      <c r="C34" s="152"/>
      <c r="D34" s="155"/>
    </row>
    <row r="35" spans="1:4" ht="33.75" customHeight="1">
      <c r="A35" s="24" t="s">
        <v>28</v>
      </c>
      <c r="B35" s="22" t="s">
        <v>22</v>
      </c>
      <c r="C35" s="153"/>
      <c r="D35" s="156"/>
    </row>
    <row r="36" spans="1:4" ht="15.75" customHeight="1">
      <c r="A36" s="167" t="s">
        <v>65</v>
      </c>
      <c r="B36" s="167"/>
      <c r="C36" s="167"/>
      <c r="D36" s="167"/>
    </row>
    <row r="37" spans="1:4" ht="36.75" customHeight="1">
      <c r="A37" s="9" t="s">
        <v>66</v>
      </c>
      <c r="B37" s="22" t="s">
        <v>79</v>
      </c>
      <c r="C37" s="154">
        <v>0.84</v>
      </c>
      <c r="D37" s="152">
        <f>C37*12*B8</f>
        <v>29204.784000000003</v>
      </c>
    </row>
    <row r="38" spans="1:4" ht="14.25" customHeight="1">
      <c r="A38" s="9" t="s">
        <v>67</v>
      </c>
      <c r="B38" s="22" t="s">
        <v>80</v>
      </c>
      <c r="C38" s="154"/>
      <c r="D38" s="168"/>
    </row>
    <row r="39" spans="1:4" ht="14.25" customHeight="1">
      <c r="A39" s="9" t="s">
        <v>68</v>
      </c>
      <c r="B39" s="22" t="s">
        <v>80</v>
      </c>
      <c r="C39" s="154"/>
      <c r="D39" s="168"/>
    </row>
    <row r="40" spans="1:4" ht="24" customHeight="1">
      <c r="A40" s="9" t="s">
        <v>69</v>
      </c>
      <c r="B40" s="22" t="s">
        <v>79</v>
      </c>
      <c r="C40" s="154"/>
      <c r="D40" s="168"/>
    </row>
    <row r="41" spans="1:4" ht="25.5" customHeight="1">
      <c r="A41" s="10" t="s">
        <v>70</v>
      </c>
      <c r="B41" s="22" t="s">
        <v>79</v>
      </c>
      <c r="C41" s="154"/>
      <c r="D41" s="168"/>
    </row>
    <row r="42" spans="1:4" ht="14.25" customHeight="1">
      <c r="A42" s="9" t="s">
        <v>71</v>
      </c>
      <c r="B42" s="22" t="s">
        <v>168</v>
      </c>
      <c r="C42" s="154"/>
      <c r="D42" s="162"/>
    </row>
    <row r="43" spans="1:4" ht="11.25" customHeight="1">
      <c r="A43" s="169" t="s">
        <v>29</v>
      </c>
      <c r="B43" s="169"/>
      <c r="C43" s="169"/>
      <c r="D43" s="169"/>
    </row>
    <row r="44" spans="1:4" ht="35.25" customHeight="1">
      <c r="A44" s="9" t="s">
        <v>30</v>
      </c>
      <c r="B44" s="22" t="s">
        <v>22</v>
      </c>
      <c r="C44" s="154">
        <v>0.61</v>
      </c>
      <c r="D44" s="152">
        <f>C44*12*B8</f>
        <v>21208.236000000001</v>
      </c>
    </row>
    <row r="45" spans="1:4" ht="38.25" customHeight="1">
      <c r="A45" s="9" t="s">
        <v>31</v>
      </c>
      <c r="B45" s="22" t="s">
        <v>22</v>
      </c>
      <c r="C45" s="154"/>
      <c r="D45" s="152"/>
    </row>
    <row r="46" spans="1:4" ht="15" customHeight="1">
      <c r="A46" s="10" t="s">
        <v>32</v>
      </c>
      <c r="B46" s="22" t="s">
        <v>22</v>
      </c>
      <c r="C46" s="154"/>
      <c r="D46" s="152"/>
    </row>
    <row r="47" spans="1:4" ht="12.75" customHeight="1">
      <c r="A47" s="167" t="s">
        <v>33</v>
      </c>
      <c r="B47" s="167"/>
      <c r="C47" s="167"/>
      <c r="D47" s="167"/>
    </row>
    <row r="48" spans="1:4" ht="29.25" customHeight="1">
      <c r="A48" s="9" t="s">
        <v>34</v>
      </c>
      <c r="B48" s="22" t="s">
        <v>77</v>
      </c>
      <c r="C48" s="154">
        <v>2.54</v>
      </c>
      <c r="D48" s="154">
        <f>C48*12*B8</f>
        <v>88309.704000000012</v>
      </c>
    </row>
    <row r="49" spans="1:4" ht="14.25" customHeight="1">
      <c r="A49" s="9" t="s">
        <v>35</v>
      </c>
      <c r="B49" s="22" t="s">
        <v>81</v>
      </c>
      <c r="C49" s="154"/>
      <c r="D49" s="154"/>
    </row>
    <row r="50" spans="1:4" ht="17.25" customHeight="1">
      <c r="A50" s="9" t="s">
        <v>36</v>
      </c>
      <c r="B50" s="22" t="s">
        <v>81</v>
      </c>
      <c r="C50" s="154"/>
      <c r="D50" s="154"/>
    </row>
    <row r="51" spans="1:4" ht="24.75" customHeight="1">
      <c r="A51" s="9" t="s">
        <v>37</v>
      </c>
      <c r="B51" s="22" t="s">
        <v>82</v>
      </c>
      <c r="C51" s="154"/>
      <c r="D51" s="154"/>
    </row>
    <row r="52" spans="1:4" ht="30" customHeight="1">
      <c r="A52" s="9" t="s">
        <v>38</v>
      </c>
      <c r="B52" s="22" t="s">
        <v>82</v>
      </c>
      <c r="C52" s="154"/>
      <c r="D52" s="154"/>
    </row>
    <row r="53" spans="1:4" ht="12.75" customHeight="1">
      <c r="A53" s="72" t="s">
        <v>95</v>
      </c>
      <c r="B53" s="6"/>
      <c r="C53" s="154"/>
      <c r="D53" s="154"/>
    </row>
    <row r="54" spans="1:4" ht="35.25" customHeight="1">
      <c r="A54" s="9" t="s">
        <v>40</v>
      </c>
      <c r="B54" s="22" t="s">
        <v>79</v>
      </c>
      <c r="C54" s="154"/>
      <c r="D54" s="154"/>
    </row>
    <row r="55" spans="1:4" ht="14.25" customHeight="1">
      <c r="A55" s="9" t="s">
        <v>41</v>
      </c>
      <c r="B55" s="22" t="s">
        <v>80</v>
      </c>
      <c r="C55" s="154"/>
      <c r="D55" s="154"/>
    </row>
    <row r="56" spans="1:4" ht="14.25" customHeight="1">
      <c r="A56" s="9" t="s">
        <v>42</v>
      </c>
      <c r="B56" s="23" t="s">
        <v>80</v>
      </c>
      <c r="C56" s="154"/>
      <c r="D56" s="154"/>
    </row>
    <row r="57" spans="1:4" ht="13.5" customHeight="1">
      <c r="A57" s="9" t="s">
        <v>43</v>
      </c>
      <c r="B57" s="23" t="s">
        <v>80</v>
      </c>
      <c r="C57" s="154"/>
      <c r="D57" s="154"/>
    </row>
    <row r="58" spans="1:4" ht="13.5" customHeight="1">
      <c r="A58" s="9" t="s">
        <v>44</v>
      </c>
      <c r="B58" s="21" t="s">
        <v>176</v>
      </c>
      <c r="C58" s="154"/>
      <c r="D58" s="154"/>
    </row>
    <row r="59" spans="1:4" ht="36.75" customHeight="1">
      <c r="A59" s="10" t="s">
        <v>45</v>
      </c>
      <c r="B59" s="22" t="s">
        <v>22</v>
      </c>
      <c r="C59" s="154"/>
      <c r="D59" s="154"/>
    </row>
    <row r="60" spans="1:4">
      <c r="A60" s="167" t="s">
        <v>46</v>
      </c>
      <c r="B60" s="167"/>
      <c r="C60" s="167"/>
      <c r="D60" s="167"/>
    </row>
    <row r="61" spans="1:4" ht="15.75" customHeight="1">
      <c r="A61" s="9" t="s">
        <v>47</v>
      </c>
      <c r="B61" s="22" t="s">
        <v>83</v>
      </c>
      <c r="C61" s="152">
        <v>2.57</v>
      </c>
      <c r="D61" s="154">
        <f>C61*12*B8+72.1</f>
        <v>89424.831999999995</v>
      </c>
    </row>
    <row r="62" spans="1:4" ht="12.75" customHeight="1">
      <c r="A62" s="9" t="s">
        <v>48</v>
      </c>
      <c r="B62" s="22" t="s">
        <v>83</v>
      </c>
      <c r="C62" s="152"/>
      <c r="D62" s="154"/>
    </row>
    <row r="63" spans="1:4" ht="22.5" customHeight="1">
      <c r="A63" s="9" t="s">
        <v>49</v>
      </c>
      <c r="B63" s="22" t="s">
        <v>83</v>
      </c>
      <c r="C63" s="152"/>
      <c r="D63" s="154"/>
    </row>
    <row r="64" spans="1:4" ht="16.5" customHeight="1">
      <c r="A64" s="9" t="s">
        <v>50</v>
      </c>
      <c r="B64" s="22" t="s">
        <v>83</v>
      </c>
      <c r="C64" s="152"/>
      <c r="D64" s="154"/>
    </row>
    <row r="65" spans="1:4" ht="39.75" customHeight="1">
      <c r="A65" s="10" t="s">
        <v>51</v>
      </c>
      <c r="B65" s="22" t="s">
        <v>22</v>
      </c>
      <c r="C65" s="152"/>
      <c r="D65" s="154"/>
    </row>
    <row r="66" spans="1:4" ht="16.5" customHeight="1">
      <c r="A66" s="10" t="s">
        <v>52</v>
      </c>
      <c r="B66" s="23" t="s">
        <v>84</v>
      </c>
      <c r="C66" s="152"/>
      <c r="D66" s="154"/>
    </row>
    <row r="67" spans="1:4">
      <c r="A67" s="157" t="s">
        <v>85</v>
      </c>
      <c r="B67" s="158"/>
      <c r="C67" s="158"/>
      <c r="D67" s="159"/>
    </row>
    <row r="68" spans="1:4" ht="26.25" customHeight="1">
      <c r="A68" s="175" t="s">
        <v>96</v>
      </c>
      <c r="B68" s="177" t="s">
        <v>86</v>
      </c>
      <c r="C68" s="152">
        <v>2.41</v>
      </c>
      <c r="D68" s="154">
        <f>C68*12*B8</f>
        <v>83789.916000000012</v>
      </c>
    </row>
    <row r="69" spans="1:4" ht="13.5" customHeight="1">
      <c r="A69" s="176"/>
      <c r="B69" s="177"/>
      <c r="C69" s="152"/>
      <c r="D69" s="154"/>
    </row>
    <row r="70" spans="1:4" ht="15" customHeight="1">
      <c r="A70" s="157" t="s">
        <v>55</v>
      </c>
      <c r="B70" s="158"/>
      <c r="C70" s="158"/>
      <c r="D70" s="159"/>
    </row>
    <row r="71" spans="1:4" ht="16.5" customHeight="1">
      <c r="A71" s="6" t="s">
        <v>90</v>
      </c>
      <c r="B71" s="21" t="s">
        <v>87</v>
      </c>
      <c r="C71" s="170">
        <v>2.14</v>
      </c>
      <c r="D71" s="172">
        <f>6200.26+68210.54</f>
        <v>74410.799999999988</v>
      </c>
    </row>
    <row r="72" spans="1:4">
      <c r="A72" s="6" t="s">
        <v>91</v>
      </c>
      <c r="B72" s="21" t="s">
        <v>87</v>
      </c>
      <c r="C72" s="171"/>
      <c r="D72" s="173"/>
    </row>
    <row r="73" spans="1:4" ht="15" customHeight="1">
      <c r="A73" s="6" t="s">
        <v>92</v>
      </c>
      <c r="B73" s="21" t="s">
        <v>87</v>
      </c>
      <c r="C73" s="169"/>
      <c r="D73" s="174"/>
    </row>
    <row r="74" spans="1:4" ht="38.25" customHeight="1">
      <c r="A74" s="6" t="s">
        <v>143</v>
      </c>
      <c r="B74" s="22" t="s">
        <v>22</v>
      </c>
      <c r="C74" s="69">
        <v>4.3499999999999996</v>
      </c>
      <c r="D74" s="69">
        <f>C74*12*B8</f>
        <v>151239.06</v>
      </c>
    </row>
    <row r="75" spans="1:4">
      <c r="A75" s="72" t="s">
        <v>56</v>
      </c>
      <c r="B75" s="23"/>
      <c r="C75" s="28">
        <f>C74+C71+C68+C61+C48+C44+C37+C30+C26+C19+C16+C14+C13</f>
        <v>21.62</v>
      </c>
      <c r="D75" s="150">
        <f>D74+D71+D68+D61+D48+D44+D37+D30+D26+D19+D16+D14+D13</f>
        <v>751755.74800000002</v>
      </c>
    </row>
    <row r="77" spans="1:4">
      <c r="C77" s="172"/>
      <c r="D77" s="40"/>
    </row>
    <row r="78" spans="1:4">
      <c r="C78" s="173"/>
      <c r="D78" s="40"/>
    </row>
    <row r="79" spans="1:4">
      <c r="C79" s="174"/>
      <c r="D79" s="40"/>
    </row>
    <row r="80" spans="1:4">
      <c r="D80" s="40"/>
    </row>
  </sheetData>
  <mergeCells count="35">
    <mergeCell ref="A36:D36"/>
    <mergeCell ref="C48:C59"/>
    <mergeCell ref="D48:D59"/>
    <mergeCell ref="A70:D70"/>
    <mergeCell ref="C71:C73"/>
    <mergeCell ref="D71:D73"/>
    <mergeCell ref="A60:D60"/>
    <mergeCell ref="C61:C66"/>
    <mergeCell ref="D61:D66"/>
    <mergeCell ref="A67:D67"/>
    <mergeCell ref="A68:A69"/>
    <mergeCell ref="B68:B69"/>
    <mergeCell ref="C68:C69"/>
    <mergeCell ref="D68:D69"/>
    <mergeCell ref="D26:D27"/>
    <mergeCell ref="A28:D28"/>
    <mergeCell ref="A29:D29"/>
    <mergeCell ref="C30:C35"/>
    <mergeCell ref="D30:D35"/>
    <mergeCell ref="C77:C79"/>
    <mergeCell ref="A12:D12"/>
    <mergeCell ref="A17:D17"/>
    <mergeCell ref="C19:C24"/>
    <mergeCell ref="D19:D24"/>
    <mergeCell ref="A25:D25"/>
    <mergeCell ref="B13:B14"/>
    <mergeCell ref="C13:C14"/>
    <mergeCell ref="A43:D43"/>
    <mergeCell ref="C44:C46"/>
    <mergeCell ref="D44:D46"/>
    <mergeCell ref="A47:D47"/>
    <mergeCell ref="D13:D14"/>
    <mergeCell ref="C37:C42"/>
    <mergeCell ref="D37:D42"/>
    <mergeCell ref="C26:C2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E86"/>
  <sheetViews>
    <sheetView workbookViewId="0">
      <selection activeCell="D82" sqref="D82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5">
      <c r="A1" s="1" t="s">
        <v>0</v>
      </c>
      <c r="B1" s="2"/>
      <c r="C1" s="2"/>
      <c r="D1" s="2" t="s">
        <v>64</v>
      </c>
    </row>
    <row r="2" spans="1:5">
      <c r="A2" s="1" t="s">
        <v>173</v>
      </c>
      <c r="B2" s="2"/>
      <c r="C2" s="2"/>
      <c r="D2" s="2"/>
    </row>
    <row r="3" spans="1:5">
      <c r="A3" s="1" t="s">
        <v>313</v>
      </c>
      <c r="B3" s="2"/>
      <c r="C3" s="2"/>
      <c r="D3" s="2"/>
    </row>
    <row r="4" spans="1:5">
      <c r="A4" s="25" t="s">
        <v>58</v>
      </c>
      <c r="B4" s="2">
        <v>1973</v>
      </c>
      <c r="C4" s="2"/>
      <c r="D4" s="2"/>
    </row>
    <row r="5" spans="1:5">
      <c r="A5" s="25" t="s">
        <v>59</v>
      </c>
      <c r="B5" s="2">
        <v>5</v>
      </c>
      <c r="C5" s="2"/>
      <c r="D5" s="2"/>
    </row>
    <row r="6" spans="1:5">
      <c r="A6" s="25" t="s">
        <v>60</v>
      </c>
      <c r="B6" s="2">
        <v>4</v>
      </c>
      <c r="C6" s="2"/>
      <c r="D6" s="2"/>
    </row>
    <row r="7" spans="1:5">
      <c r="A7" s="25" t="s">
        <v>61</v>
      </c>
      <c r="B7" s="2">
        <v>70</v>
      </c>
      <c r="C7" s="2"/>
      <c r="D7" s="2"/>
    </row>
    <row r="8" spans="1:5">
      <c r="A8" s="25" t="s">
        <v>72</v>
      </c>
      <c r="B8" s="2">
        <v>3317.1</v>
      </c>
      <c r="C8" s="2"/>
      <c r="D8" s="2"/>
    </row>
    <row r="9" spans="1:5">
      <c r="A9" s="25" t="s">
        <v>62</v>
      </c>
      <c r="B9" s="2">
        <v>268</v>
      </c>
      <c r="C9" s="2"/>
      <c r="D9" s="2"/>
    </row>
    <row r="10" spans="1:5">
      <c r="A10" s="25" t="s">
        <v>73</v>
      </c>
      <c r="B10" s="46">
        <v>929.3</v>
      </c>
      <c r="C10" s="2"/>
      <c r="D10" s="2"/>
    </row>
    <row r="11" spans="1:5" ht="36.75">
      <c r="A11" s="71" t="s">
        <v>1</v>
      </c>
      <c r="B11" s="71" t="s">
        <v>2</v>
      </c>
      <c r="C11" s="71" t="s">
        <v>3</v>
      </c>
      <c r="D11" s="71" t="s">
        <v>4</v>
      </c>
    </row>
    <row r="12" spans="1:5">
      <c r="A12" s="178" t="s">
        <v>5</v>
      </c>
      <c r="B12" s="158"/>
      <c r="C12" s="158"/>
      <c r="D12" s="159"/>
    </row>
    <row r="13" spans="1:5" ht="88.5" customHeight="1">
      <c r="A13" s="104" t="s">
        <v>6</v>
      </c>
      <c r="B13" s="160" t="s">
        <v>8</v>
      </c>
      <c r="C13" s="153">
        <v>1.45</v>
      </c>
      <c r="D13" s="163">
        <f>C13*12*B8</f>
        <v>57717.539999999994</v>
      </c>
    </row>
    <row r="14" spans="1:5" ht="75.75" customHeight="1">
      <c r="A14" s="103" t="s">
        <v>89</v>
      </c>
      <c r="B14" s="161"/>
      <c r="C14" s="162"/>
      <c r="D14" s="164"/>
      <c r="E14" s="116"/>
    </row>
    <row r="15" spans="1:5">
      <c r="A15" s="103" t="s">
        <v>9</v>
      </c>
      <c r="B15" s="71"/>
      <c r="C15" s="26"/>
      <c r="D15" s="30"/>
    </row>
    <row r="16" spans="1:5">
      <c r="A16" s="6" t="s">
        <v>289</v>
      </c>
      <c r="B16" s="71" t="s">
        <v>80</v>
      </c>
      <c r="C16" s="44">
        <v>0.25</v>
      </c>
      <c r="D16" s="30">
        <f>C16*12*B8</f>
        <v>9951.2999999999993</v>
      </c>
    </row>
    <row r="17" spans="1:4">
      <c r="A17" s="74" t="s">
        <v>288</v>
      </c>
      <c r="B17" s="117" t="s">
        <v>105</v>
      </c>
      <c r="C17" s="44">
        <v>0.26</v>
      </c>
      <c r="D17" s="30">
        <f t="shared" ref="D17:D18" si="0">C17*12*B9</f>
        <v>836.16000000000008</v>
      </c>
    </row>
    <row r="18" spans="1:4">
      <c r="A18" s="74" t="s">
        <v>290</v>
      </c>
      <c r="B18" s="117" t="s">
        <v>24</v>
      </c>
      <c r="C18" s="44">
        <v>0.23</v>
      </c>
      <c r="D18" s="30">
        <f t="shared" si="0"/>
        <v>2564.8679999999999</v>
      </c>
    </row>
    <row r="19" spans="1:4">
      <c r="A19" s="74" t="s">
        <v>291</v>
      </c>
      <c r="B19" s="117" t="s">
        <v>117</v>
      </c>
      <c r="C19" s="44">
        <v>0.37</v>
      </c>
      <c r="D19" s="30">
        <f>C19*12*B8</f>
        <v>14727.923999999997</v>
      </c>
    </row>
    <row r="20" spans="1:4">
      <c r="A20" s="74" t="s">
        <v>292</v>
      </c>
      <c r="B20" s="117" t="s">
        <v>117</v>
      </c>
      <c r="C20" s="44">
        <v>1.63</v>
      </c>
      <c r="D20" s="30">
        <f>C20*12*B8</f>
        <v>64882.475999999995</v>
      </c>
    </row>
    <row r="21" spans="1:4">
      <c r="A21" s="191" t="s">
        <v>10</v>
      </c>
      <c r="B21" s="192"/>
      <c r="C21" s="192"/>
      <c r="D21" s="193"/>
    </row>
    <row r="22" spans="1:4" ht="13.5" customHeight="1">
      <c r="A22" s="39" t="s">
        <v>97</v>
      </c>
      <c r="B22" s="72"/>
      <c r="C22" s="72"/>
      <c r="D22" s="72"/>
    </row>
    <row r="23" spans="1:4" ht="13.5" customHeight="1">
      <c r="A23" s="6" t="s">
        <v>11</v>
      </c>
      <c r="B23" s="71" t="s">
        <v>75</v>
      </c>
      <c r="C23" s="152">
        <v>2.16</v>
      </c>
      <c r="D23" s="166">
        <f>C23*12*B8</f>
        <v>85979.232000000004</v>
      </c>
    </row>
    <row r="24" spans="1:4" ht="12.75" customHeight="1">
      <c r="A24" s="6" t="s">
        <v>12</v>
      </c>
      <c r="B24" s="71" t="s">
        <v>75</v>
      </c>
      <c r="C24" s="152"/>
      <c r="D24" s="155"/>
    </row>
    <row r="25" spans="1:4" ht="14.25" customHeight="1">
      <c r="A25" s="6" t="s">
        <v>13</v>
      </c>
      <c r="B25" s="71" t="s">
        <v>75</v>
      </c>
      <c r="C25" s="152"/>
      <c r="D25" s="155"/>
    </row>
    <row r="26" spans="1:4" ht="13.5" customHeight="1">
      <c r="A26" s="6" t="s">
        <v>14</v>
      </c>
      <c r="B26" s="71" t="s">
        <v>76</v>
      </c>
      <c r="C26" s="152"/>
      <c r="D26" s="155"/>
    </row>
    <row r="27" spans="1:4" ht="12.75" customHeight="1">
      <c r="A27" s="39" t="s">
        <v>93</v>
      </c>
      <c r="B27" s="71"/>
      <c r="C27" s="152"/>
      <c r="D27" s="155"/>
    </row>
    <row r="28" spans="1:4" ht="30" customHeight="1">
      <c r="A28" s="6" t="s">
        <v>15</v>
      </c>
      <c r="B28" s="71" t="s">
        <v>94</v>
      </c>
      <c r="C28" s="152"/>
      <c r="D28" s="156"/>
    </row>
    <row r="29" spans="1:4" ht="12.75" customHeight="1">
      <c r="A29" s="157" t="s">
        <v>16</v>
      </c>
      <c r="B29" s="158"/>
      <c r="C29" s="158"/>
      <c r="D29" s="159"/>
    </row>
    <row r="30" spans="1:4" ht="12" customHeight="1">
      <c r="A30" s="7" t="s">
        <v>17</v>
      </c>
      <c r="B30" s="21" t="s">
        <v>78</v>
      </c>
      <c r="C30" s="152">
        <v>0.2</v>
      </c>
      <c r="D30" s="167">
        <f>C30*12*B8</f>
        <v>7961.0400000000009</v>
      </c>
    </row>
    <row r="31" spans="1:4" ht="12" customHeight="1">
      <c r="A31" s="7" t="s">
        <v>18</v>
      </c>
      <c r="B31" s="21" t="s">
        <v>77</v>
      </c>
      <c r="C31" s="152"/>
      <c r="D31" s="167"/>
    </row>
    <row r="32" spans="1:4" ht="13.5" customHeight="1">
      <c r="A32" s="157" t="s">
        <v>19</v>
      </c>
      <c r="B32" s="158"/>
      <c r="C32" s="158"/>
      <c r="D32" s="159"/>
    </row>
    <row r="33" spans="1:4">
      <c r="A33" s="167" t="s">
        <v>20</v>
      </c>
      <c r="B33" s="167"/>
      <c r="C33" s="167"/>
      <c r="D33" s="167"/>
    </row>
    <row r="34" spans="1:4" ht="37.5" customHeight="1">
      <c r="A34" s="8" t="s">
        <v>21</v>
      </c>
      <c r="B34" s="22" t="s">
        <v>79</v>
      </c>
      <c r="C34" s="152">
        <v>0.79</v>
      </c>
      <c r="D34" s="154">
        <f>C34*12*B8</f>
        <v>31446.108</v>
      </c>
    </row>
    <row r="35" spans="1:4" ht="15" customHeight="1">
      <c r="A35" s="9" t="s">
        <v>23</v>
      </c>
      <c r="B35" s="23" t="s">
        <v>80</v>
      </c>
      <c r="C35" s="152"/>
      <c r="D35" s="155"/>
    </row>
    <row r="36" spans="1:4" ht="13.5" customHeight="1">
      <c r="A36" s="9" t="s">
        <v>25</v>
      </c>
      <c r="B36" s="23" t="s">
        <v>80</v>
      </c>
      <c r="C36" s="152"/>
      <c r="D36" s="155"/>
    </row>
    <row r="37" spans="1:4" ht="36" customHeight="1">
      <c r="A37" s="9" t="s">
        <v>26</v>
      </c>
      <c r="B37" s="22" t="s">
        <v>22</v>
      </c>
      <c r="C37" s="152"/>
      <c r="D37" s="155"/>
    </row>
    <row r="38" spans="1:4" ht="14.25" customHeight="1">
      <c r="A38" s="9" t="s">
        <v>27</v>
      </c>
      <c r="B38" s="22" t="s">
        <v>24</v>
      </c>
      <c r="C38" s="152"/>
      <c r="D38" s="155"/>
    </row>
    <row r="39" spans="1:4" ht="33.75" customHeight="1">
      <c r="A39" s="24" t="s">
        <v>28</v>
      </c>
      <c r="B39" s="22" t="s">
        <v>22</v>
      </c>
      <c r="C39" s="153"/>
      <c r="D39" s="156"/>
    </row>
    <row r="40" spans="1:4" ht="15.75" customHeight="1">
      <c r="A40" s="167" t="s">
        <v>65</v>
      </c>
      <c r="B40" s="167"/>
      <c r="C40" s="167"/>
      <c r="D40" s="167"/>
    </row>
    <row r="41" spans="1:4" ht="36.75" customHeight="1">
      <c r="A41" s="9" t="s">
        <v>66</v>
      </c>
      <c r="B41" s="22" t="s">
        <v>79</v>
      </c>
      <c r="C41" s="154">
        <v>1.29</v>
      </c>
      <c r="D41" s="152">
        <f>C41*12*B8</f>
        <v>51348.707999999999</v>
      </c>
    </row>
    <row r="42" spans="1:4" ht="14.25" customHeight="1">
      <c r="A42" s="9" t="s">
        <v>67</v>
      </c>
      <c r="B42" s="22" t="s">
        <v>80</v>
      </c>
      <c r="C42" s="154"/>
      <c r="D42" s="168"/>
    </row>
    <row r="43" spans="1:4" ht="14.25" customHeight="1">
      <c r="A43" s="9" t="s">
        <v>68</v>
      </c>
      <c r="B43" s="22" t="s">
        <v>80</v>
      </c>
      <c r="C43" s="154"/>
      <c r="D43" s="168"/>
    </row>
    <row r="44" spans="1:4" ht="24" customHeight="1">
      <c r="A44" s="9" t="s">
        <v>69</v>
      </c>
      <c r="B44" s="22" t="s">
        <v>79</v>
      </c>
      <c r="C44" s="154"/>
      <c r="D44" s="168"/>
    </row>
    <row r="45" spans="1:4" ht="25.5" customHeight="1">
      <c r="A45" s="10" t="s">
        <v>70</v>
      </c>
      <c r="B45" s="22" t="s">
        <v>79</v>
      </c>
      <c r="C45" s="154"/>
      <c r="D45" s="168"/>
    </row>
    <row r="46" spans="1:4" ht="14.25" customHeight="1">
      <c r="A46" s="9" t="s">
        <v>71</v>
      </c>
      <c r="B46" s="22" t="s">
        <v>168</v>
      </c>
      <c r="C46" s="154"/>
      <c r="D46" s="162"/>
    </row>
    <row r="47" spans="1:4" ht="11.25" customHeight="1">
      <c r="A47" s="169" t="s">
        <v>29</v>
      </c>
      <c r="B47" s="169"/>
      <c r="C47" s="169"/>
      <c r="D47" s="169"/>
    </row>
    <row r="48" spans="1:4" ht="35.25" customHeight="1">
      <c r="A48" s="9" t="s">
        <v>30</v>
      </c>
      <c r="B48" s="22" t="s">
        <v>22</v>
      </c>
      <c r="C48" s="154">
        <v>0.91</v>
      </c>
      <c r="D48" s="152">
        <f>12*C48*B8</f>
        <v>36222.731999999996</v>
      </c>
    </row>
    <row r="49" spans="1:4" ht="38.25" customHeight="1">
      <c r="A49" s="9" t="s">
        <v>31</v>
      </c>
      <c r="B49" s="22" t="s">
        <v>22</v>
      </c>
      <c r="C49" s="154"/>
      <c r="D49" s="152"/>
    </row>
    <row r="50" spans="1:4" ht="15" customHeight="1">
      <c r="A50" s="10" t="s">
        <v>32</v>
      </c>
      <c r="B50" s="22" t="s">
        <v>22</v>
      </c>
      <c r="C50" s="154"/>
      <c r="D50" s="152"/>
    </row>
    <row r="51" spans="1:4" ht="12.75" customHeight="1">
      <c r="A51" s="167" t="s">
        <v>33</v>
      </c>
      <c r="B51" s="167"/>
      <c r="C51" s="167"/>
      <c r="D51" s="167"/>
    </row>
    <row r="52" spans="1:4" ht="29.25" customHeight="1">
      <c r="A52" s="9" t="s">
        <v>34</v>
      </c>
      <c r="B52" s="22" t="s">
        <v>77</v>
      </c>
      <c r="C52" s="154">
        <v>1.8</v>
      </c>
      <c r="D52" s="154">
        <f>C52*12*B8</f>
        <v>71649.36</v>
      </c>
    </row>
    <row r="53" spans="1:4" ht="14.25" customHeight="1">
      <c r="A53" s="9" t="s">
        <v>35</v>
      </c>
      <c r="B53" s="22" t="s">
        <v>81</v>
      </c>
      <c r="C53" s="154"/>
      <c r="D53" s="154"/>
    </row>
    <row r="54" spans="1:4" ht="17.25" customHeight="1">
      <c r="A54" s="9" t="s">
        <v>36</v>
      </c>
      <c r="B54" s="22" t="s">
        <v>81</v>
      </c>
      <c r="C54" s="154"/>
      <c r="D54" s="154"/>
    </row>
    <row r="55" spans="1:4" ht="24.75" customHeight="1">
      <c r="A55" s="9" t="s">
        <v>37</v>
      </c>
      <c r="B55" s="22" t="s">
        <v>82</v>
      </c>
      <c r="C55" s="154"/>
      <c r="D55" s="154"/>
    </row>
    <row r="56" spans="1:4" ht="30" customHeight="1">
      <c r="A56" s="9" t="s">
        <v>38</v>
      </c>
      <c r="B56" s="22" t="s">
        <v>82</v>
      </c>
      <c r="C56" s="154"/>
      <c r="D56" s="154"/>
    </row>
    <row r="57" spans="1:4" ht="12.75" customHeight="1">
      <c r="A57" s="72" t="s">
        <v>95</v>
      </c>
      <c r="B57" s="6"/>
      <c r="C57" s="154"/>
      <c r="D57" s="154"/>
    </row>
    <row r="58" spans="1:4" ht="35.25" customHeight="1">
      <c r="A58" s="9" t="s">
        <v>40</v>
      </c>
      <c r="B58" s="22" t="s">
        <v>79</v>
      </c>
      <c r="C58" s="154"/>
      <c r="D58" s="154"/>
    </row>
    <row r="59" spans="1:4" ht="14.25" customHeight="1">
      <c r="A59" s="9" t="s">
        <v>41</v>
      </c>
      <c r="B59" s="22" t="s">
        <v>80</v>
      </c>
      <c r="C59" s="154"/>
      <c r="D59" s="154"/>
    </row>
    <row r="60" spans="1:4" ht="14.25" customHeight="1">
      <c r="A60" s="9" t="s">
        <v>42</v>
      </c>
      <c r="B60" s="23" t="s">
        <v>80</v>
      </c>
      <c r="C60" s="154"/>
      <c r="D60" s="154"/>
    </row>
    <row r="61" spans="1:4" ht="13.5" customHeight="1">
      <c r="A61" s="9" t="s">
        <v>43</v>
      </c>
      <c r="B61" s="23" t="s">
        <v>80</v>
      </c>
      <c r="C61" s="154"/>
      <c r="D61" s="154"/>
    </row>
    <row r="62" spans="1:4" ht="13.5" customHeight="1">
      <c r="A62" s="9" t="s">
        <v>44</v>
      </c>
      <c r="B62" s="21" t="s">
        <v>174</v>
      </c>
      <c r="C62" s="154"/>
      <c r="D62" s="154"/>
    </row>
    <row r="63" spans="1:4" ht="36.75" customHeight="1">
      <c r="A63" s="10" t="s">
        <v>45</v>
      </c>
      <c r="B63" s="22" t="s">
        <v>22</v>
      </c>
      <c r="C63" s="154"/>
      <c r="D63" s="154"/>
    </row>
    <row r="64" spans="1:4">
      <c r="A64" s="167" t="s">
        <v>46</v>
      </c>
      <c r="B64" s="167"/>
      <c r="C64" s="167"/>
      <c r="D64" s="167"/>
    </row>
    <row r="65" spans="1:4" ht="15.75" customHeight="1">
      <c r="A65" s="9" t="s">
        <v>47</v>
      </c>
      <c r="B65" s="22" t="s">
        <v>83</v>
      </c>
      <c r="C65" s="152">
        <v>1.38</v>
      </c>
      <c r="D65" s="154">
        <f>C65*12*B8+16546.38</f>
        <v>71477.555999999997</v>
      </c>
    </row>
    <row r="66" spans="1:4" ht="12.75" customHeight="1">
      <c r="A66" s="9" t="s">
        <v>48</v>
      </c>
      <c r="B66" s="22" t="s">
        <v>83</v>
      </c>
      <c r="C66" s="152"/>
      <c r="D66" s="154"/>
    </row>
    <row r="67" spans="1:4" ht="29.25" customHeight="1">
      <c r="A67" s="9" t="s">
        <v>49</v>
      </c>
      <c r="B67" s="22" t="s">
        <v>83</v>
      </c>
      <c r="C67" s="152"/>
      <c r="D67" s="154"/>
    </row>
    <row r="68" spans="1:4" ht="16.5" customHeight="1">
      <c r="A68" s="9" t="s">
        <v>50</v>
      </c>
      <c r="B68" s="22" t="s">
        <v>83</v>
      </c>
      <c r="C68" s="152"/>
      <c r="D68" s="154"/>
    </row>
    <row r="69" spans="1:4" ht="39.75" customHeight="1">
      <c r="A69" s="10" t="s">
        <v>51</v>
      </c>
      <c r="B69" s="22" t="s">
        <v>22</v>
      </c>
      <c r="C69" s="152"/>
      <c r="D69" s="154"/>
    </row>
    <row r="70" spans="1:4" ht="16.5" customHeight="1">
      <c r="A70" s="10" t="s">
        <v>52</v>
      </c>
      <c r="B70" s="23" t="s">
        <v>84</v>
      </c>
      <c r="C70" s="152"/>
      <c r="D70" s="154"/>
    </row>
    <row r="71" spans="1:4">
      <c r="A71" s="157" t="s">
        <v>85</v>
      </c>
      <c r="B71" s="158"/>
      <c r="C71" s="158"/>
      <c r="D71" s="159"/>
    </row>
    <row r="72" spans="1:4" ht="26.25" customHeight="1">
      <c r="A72" s="175" t="s">
        <v>96</v>
      </c>
      <c r="B72" s="177" t="s">
        <v>86</v>
      </c>
      <c r="C72" s="152">
        <v>2.41</v>
      </c>
      <c r="D72" s="154">
        <f>C72*12*B8</f>
        <v>95930.532000000007</v>
      </c>
    </row>
    <row r="73" spans="1:4" ht="13.5" customHeight="1">
      <c r="A73" s="176"/>
      <c r="B73" s="177"/>
      <c r="C73" s="152"/>
      <c r="D73" s="154"/>
    </row>
    <row r="74" spans="1:4" ht="15" customHeight="1">
      <c r="A74" s="157" t="s">
        <v>55</v>
      </c>
      <c r="B74" s="158"/>
      <c r="C74" s="158"/>
      <c r="D74" s="159"/>
    </row>
    <row r="75" spans="1:4" ht="16.5" customHeight="1">
      <c r="A75" s="6" t="s">
        <v>90</v>
      </c>
      <c r="B75" s="21" t="s">
        <v>87</v>
      </c>
      <c r="C75" s="170">
        <v>2.14</v>
      </c>
      <c r="D75" s="172">
        <f>7098.6+78132.96</f>
        <v>85231.560000000012</v>
      </c>
    </row>
    <row r="76" spans="1:4">
      <c r="A76" s="6" t="s">
        <v>91</v>
      </c>
      <c r="B76" s="21" t="s">
        <v>87</v>
      </c>
      <c r="C76" s="171"/>
      <c r="D76" s="173"/>
    </row>
    <row r="77" spans="1:4" ht="15" customHeight="1">
      <c r="A77" s="6" t="s">
        <v>92</v>
      </c>
      <c r="B77" s="21" t="s">
        <v>87</v>
      </c>
      <c r="C77" s="169"/>
      <c r="D77" s="174"/>
    </row>
    <row r="78" spans="1:4" ht="38.25" customHeight="1">
      <c r="A78" s="6" t="s">
        <v>143</v>
      </c>
      <c r="B78" s="22" t="s">
        <v>22</v>
      </c>
      <c r="C78" s="69">
        <v>4.3499999999999996</v>
      </c>
      <c r="D78" s="69">
        <f>12*C78*B8</f>
        <v>173152.62</v>
      </c>
    </row>
    <row r="79" spans="1:4">
      <c r="A79" s="72" t="s">
        <v>56</v>
      </c>
      <c r="B79" s="23"/>
      <c r="C79" s="28">
        <f>C78+C75+C72+C65+C52+C48+C41+C34+C30+C23+C20+C19+C18+C17+C16+C13</f>
        <v>21.62</v>
      </c>
      <c r="D79" s="28">
        <f>D78+D75+D72+D65+D52+D48+D41+D34+D30+D23+D20+D19+D18+D17+D16+D13</f>
        <v>861079.71600000013</v>
      </c>
    </row>
    <row r="84" spans="4:4">
      <c r="D84" s="40"/>
    </row>
    <row r="85" spans="4:4">
      <c r="D85" s="40"/>
    </row>
    <row r="86" spans="4:4">
      <c r="D86" s="40"/>
    </row>
  </sheetData>
  <mergeCells count="34">
    <mergeCell ref="A51:D51"/>
    <mergeCell ref="A74:D74"/>
    <mergeCell ref="C75:C77"/>
    <mergeCell ref="D75:D77"/>
    <mergeCell ref="A64:D64"/>
    <mergeCell ref="C65:C70"/>
    <mergeCell ref="D65:D70"/>
    <mergeCell ref="A71:D71"/>
    <mergeCell ref="A72:A73"/>
    <mergeCell ref="B72:B73"/>
    <mergeCell ref="C72:C73"/>
    <mergeCell ref="D72:D73"/>
    <mergeCell ref="C52:C63"/>
    <mergeCell ref="D52:D63"/>
    <mergeCell ref="A40:D40"/>
    <mergeCell ref="A12:D12"/>
    <mergeCell ref="A21:D21"/>
    <mergeCell ref="C23:C28"/>
    <mergeCell ref="D23:D28"/>
    <mergeCell ref="A29:D29"/>
    <mergeCell ref="D13:D14"/>
    <mergeCell ref="B13:B14"/>
    <mergeCell ref="C13:C14"/>
    <mergeCell ref="C30:C31"/>
    <mergeCell ref="D30:D31"/>
    <mergeCell ref="A32:D32"/>
    <mergeCell ref="A33:D33"/>
    <mergeCell ref="C34:C39"/>
    <mergeCell ref="D34:D39"/>
    <mergeCell ref="A47:D47"/>
    <mergeCell ref="C48:C50"/>
    <mergeCell ref="D48:D50"/>
    <mergeCell ref="C41:C46"/>
    <mergeCell ref="D41:D4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E82"/>
  <sheetViews>
    <sheetView workbookViewId="0">
      <selection activeCell="F6" sqref="F6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  <col min="5" max="5" width="0.140625" customWidth="1"/>
  </cols>
  <sheetData>
    <row r="1" spans="1:5">
      <c r="A1" s="1" t="s">
        <v>0</v>
      </c>
      <c r="B1" s="2"/>
      <c r="C1" s="2"/>
      <c r="D1" s="2" t="s">
        <v>64</v>
      </c>
    </row>
    <row r="2" spans="1:5">
      <c r="A2" s="1" t="s">
        <v>170</v>
      </c>
      <c r="B2" s="2"/>
      <c r="C2" s="2"/>
      <c r="D2" s="2"/>
    </row>
    <row r="3" spans="1:5">
      <c r="A3" s="1" t="s">
        <v>285</v>
      </c>
      <c r="B3" s="2"/>
      <c r="C3" s="2"/>
      <c r="D3" s="2"/>
    </row>
    <row r="4" spans="1:5">
      <c r="A4" s="25" t="s">
        <v>58</v>
      </c>
      <c r="B4" s="2">
        <v>1977</v>
      </c>
      <c r="C4" s="2"/>
      <c r="D4" s="2"/>
    </row>
    <row r="5" spans="1:5">
      <c r="A5" s="25" t="s">
        <v>59</v>
      </c>
      <c r="B5" s="2">
        <v>5</v>
      </c>
      <c r="C5" s="2"/>
      <c r="D5" s="2"/>
    </row>
    <row r="6" spans="1:5">
      <c r="A6" s="25" t="s">
        <v>60</v>
      </c>
      <c r="B6" s="2">
        <v>4</v>
      </c>
      <c r="C6" s="2"/>
      <c r="D6" s="2"/>
    </row>
    <row r="7" spans="1:5">
      <c r="A7" s="25" t="s">
        <v>61</v>
      </c>
      <c r="B7" s="2">
        <v>70</v>
      </c>
      <c r="C7" s="2"/>
      <c r="D7" s="2"/>
    </row>
    <row r="8" spans="1:5">
      <c r="A8" s="25" t="s">
        <v>72</v>
      </c>
      <c r="B8" s="2">
        <v>3266.7</v>
      </c>
      <c r="C8" s="2"/>
      <c r="D8" s="2"/>
      <c r="E8">
        <f>B10+B8</f>
        <v>3326.2</v>
      </c>
    </row>
    <row r="9" spans="1:5">
      <c r="A9" s="25" t="s">
        <v>62</v>
      </c>
      <c r="B9" s="2">
        <v>275</v>
      </c>
      <c r="C9" s="2"/>
      <c r="D9" s="2"/>
    </row>
    <row r="10" spans="1:5">
      <c r="A10" s="25" t="s">
        <v>393</v>
      </c>
      <c r="B10" s="2">
        <v>59.5</v>
      </c>
      <c r="C10" s="2"/>
      <c r="D10" s="2"/>
    </row>
    <row r="11" spans="1:5">
      <c r="A11" s="25" t="s">
        <v>73</v>
      </c>
      <c r="B11" s="46">
        <v>729.6</v>
      </c>
      <c r="C11" s="2"/>
      <c r="D11" s="2"/>
    </row>
    <row r="12" spans="1:5" ht="36.75">
      <c r="A12" s="71" t="s">
        <v>1</v>
      </c>
      <c r="B12" s="71" t="s">
        <v>2</v>
      </c>
      <c r="C12" s="71" t="s">
        <v>3</v>
      </c>
      <c r="D12" s="71" t="s">
        <v>4</v>
      </c>
    </row>
    <row r="13" spans="1:5">
      <c r="A13" s="157" t="s">
        <v>5</v>
      </c>
      <c r="B13" s="158"/>
      <c r="C13" s="158"/>
      <c r="D13" s="159"/>
    </row>
    <row r="14" spans="1:5" ht="88.5" customHeight="1">
      <c r="A14" s="104" t="s">
        <v>6</v>
      </c>
      <c r="B14" s="160" t="s">
        <v>8</v>
      </c>
      <c r="C14" s="153">
        <v>1.02</v>
      </c>
      <c r="D14" s="163">
        <f>C14*12*E8</f>
        <v>40712.688000000002</v>
      </c>
    </row>
    <row r="15" spans="1:5" ht="75.75" customHeight="1">
      <c r="A15" s="103" t="s">
        <v>89</v>
      </c>
      <c r="B15" s="161"/>
      <c r="C15" s="162"/>
      <c r="D15" s="164"/>
    </row>
    <row r="16" spans="1:5">
      <c r="A16" s="6" t="s">
        <v>9</v>
      </c>
      <c r="B16" s="71"/>
      <c r="C16" s="26"/>
      <c r="D16" s="30"/>
    </row>
    <row r="17" spans="1:4">
      <c r="A17" s="6" t="s">
        <v>336</v>
      </c>
      <c r="B17" s="71"/>
      <c r="C17" s="44">
        <v>3.36</v>
      </c>
      <c r="D17" s="30">
        <f>C17*E8*12</f>
        <v>134112.38399999999</v>
      </c>
    </row>
    <row r="18" spans="1:4">
      <c r="A18" s="6" t="s">
        <v>172</v>
      </c>
      <c r="B18" s="71" t="s">
        <v>105</v>
      </c>
      <c r="C18" s="44">
        <v>0.14000000000000001</v>
      </c>
      <c r="D18" s="30">
        <f>C18*12*E8</f>
        <v>5588.0160000000005</v>
      </c>
    </row>
    <row r="19" spans="1:4">
      <c r="A19" s="191" t="s">
        <v>10</v>
      </c>
      <c r="B19" s="192"/>
      <c r="C19" s="192"/>
      <c r="D19" s="193"/>
    </row>
    <row r="20" spans="1:4" ht="13.5" customHeight="1">
      <c r="A20" s="39" t="s">
        <v>97</v>
      </c>
      <c r="B20" s="72"/>
      <c r="C20" s="72"/>
      <c r="D20" s="72"/>
    </row>
    <row r="21" spans="1:4" ht="13.5" customHeight="1">
      <c r="A21" s="6" t="s">
        <v>11</v>
      </c>
      <c r="B21" s="71" t="s">
        <v>75</v>
      </c>
      <c r="C21" s="152">
        <v>2.16</v>
      </c>
      <c r="D21" s="166">
        <f>C21*E8*12</f>
        <v>86215.103999999992</v>
      </c>
    </row>
    <row r="22" spans="1:4" ht="12.75" customHeight="1">
      <c r="A22" s="6" t="s">
        <v>12</v>
      </c>
      <c r="B22" s="71" t="s">
        <v>75</v>
      </c>
      <c r="C22" s="152"/>
      <c r="D22" s="155"/>
    </row>
    <row r="23" spans="1:4" ht="14.25" customHeight="1">
      <c r="A23" s="6" t="s">
        <v>13</v>
      </c>
      <c r="B23" s="71" t="s">
        <v>75</v>
      </c>
      <c r="C23" s="152"/>
      <c r="D23" s="155"/>
    </row>
    <row r="24" spans="1:4" ht="13.5" customHeight="1">
      <c r="A24" s="6" t="s">
        <v>14</v>
      </c>
      <c r="B24" s="71" t="s">
        <v>76</v>
      </c>
      <c r="C24" s="152"/>
      <c r="D24" s="155"/>
    </row>
    <row r="25" spans="1:4" ht="12.75" customHeight="1">
      <c r="A25" s="39" t="s">
        <v>93</v>
      </c>
      <c r="B25" s="71"/>
      <c r="C25" s="152"/>
      <c r="D25" s="155"/>
    </row>
    <row r="26" spans="1:4" ht="30" customHeight="1">
      <c r="A26" s="6" t="s">
        <v>15</v>
      </c>
      <c r="B26" s="71" t="s">
        <v>94</v>
      </c>
      <c r="C26" s="152"/>
      <c r="D26" s="156"/>
    </row>
    <row r="27" spans="1:4" ht="12.75" customHeight="1">
      <c r="A27" s="157" t="s">
        <v>16</v>
      </c>
      <c r="B27" s="158"/>
      <c r="C27" s="158"/>
      <c r="D27" s="159"/>
    </row>
    <row r="28" spans="1:4" ht="12" customHeight="1">
      <c r="A28" s="7" t="s">
        <v>17</v>
      </c>
      <c r="B28" s="21" t="s">
        <v>78</v>
      </c>
      <c r="C28" s="152">
        <v>0.2</v>
      </c>
      <c r="D28" s="167">
        <f>C28*E8*12</f>
        <v>7982.88</v>
      </c>
    </row>
    <row r="29" spans="1:4" ht="12" customHeight="1">
      <c r="A29" s="7" t="s">
        <v>18</v>
      </c>
      <c r="B29" s="21" t="s">
        <v>77</v>
      </c>
      <c r="C29" s="152"/>
      <c r="D29" s="167"/>
    </row>
    <row r="30" spans="1:4" ht="13.5" customHeight="1">
      <c r="A30" s="157" t="s">
        <v>19</v>
      </c>
      <c r="B30" s="158"/>
      <c r="C30" s="158"/>
      <c r="D30" s="159"/>
    </row>
    <row r="31" spans="1:4">
      <c r="A31" s="167" t="s">
        <v>20</v>
      </c>
      <c r="B31" s="167"/>
      <c r="C31" s="167"/>
      <c r="D31" s="167"/>
    </row>
    <row r="32" spans="1:4" ht="37.5" customHeight="1">
      <c r="A32" s="8" t="s">
        <v>21</v>
      </c>
      <c r="B32" s="22" t="s">
        <v>79</v>
      </c>
      <c r="C32" s="152">
        <v>0.52</v>
      </c>
      <c r="D32" s="154">
        <f>C32*E8*12</f>
        <v>20755.488000000001</v>
      </c>
    </row>
    <row r="33" spans="1:4" ht="15" customHeight="1">
      <c r="A33" s="9" t="s">
        <v>23</v>
      </c>
      <c r="B33" s="23" t="s">
        <v>80</v>
      </c>
      <c r="C33" s="152"/>
      <c r="D33" s="155"/>
    </row>
    <row r="34" spans="1:4" ht="13.5" customHeight="1">
      <c r="A34" s="9" t="s">
        <v>25</v>
      </c>
      <c r="B34" s="23" t="s">
        <v>80</v>
      </c>
      <c r="C34" s="152"/>
      <c r="D34" s="155"/>
    </row>
    <row r="35" spans="1:4" ht="36" customHeight="1">
      <c r="A35" s="9" t="s">
        <v>26</v>
      </c>
      <c r="B35" s="22" t="s">
        <v>22</v>
      </c>
      <c r="C35" s="152"/>
      <c r="D35" s="155"/>
    </row>
    <row r="36" spans="1:4" ht="14.25" customHeight="1">
      <c r="A36" s="9" t="s">
        <v>27</v>
      </c>
      <c r="B36" s="22" t="s">
        <v>24</v>
      </c>
      <c r="C36" s="152"/>
      <c r="D36" s="155"/>
    </row>
    <row r="37" spans="1:4" ht="33.75" customHeight="1">
      <c r="A37" s="24" t="s">
        <v>28</v>
      </c>
      <c r="B37" s="22" t="s">
        <v>22</v>
      </c>
      <c r="C37" s="153"/>
      <c r="D37" s="156"/>
    </row>
    <row r="38" spans="1:4" ht="15.75" customHeight="1">
      <c r="A38" s="167" t="s">
        <v>65</v>
      </c>
      <c r="B38" s="167"/>
      <c r="C38" s="167"/>
      <c r="D38" s="167"/>
    </row>
    <row r="39" spans="1:4" ht="36.75" customHeight="1">
      <c r="A39" s="9" t="s">
        <v>66</v>
      </c>
      <c r="B39" s="22" t="s">
        <v>79</v>
      </c>
      <c r="C39" s="154">
        <v>0.64</v>
      </c>
      <c r="D39" s="152">
        <f>C39*E8*12</f>
        <v>25545.216</v>
      </c>
    </row>
    <row r="40" spans="1:4" ht="14.25" customHeight="1">
      <c r="A40" s="9" t="s">
        <v>67</v>
      </c>
      <c r="B40" s="22" t="s">
        <v>80</v>
      </c>
      <c r="C40" s="154"/>
      <c r="D40" s="168"/>
    </row>
    <row r="41" spans="1:4" ht="14.25" customHeight="1">
      <c r="A41" s="9" t="s">
        <v>68</v>
      </c>
      <c r="B41" s="22" t="s">
        <v>80</v>
      </c>
      <c r="C41" s="154"/>
      <c r="D41" s="168"/>
    </row>
    <row r="42" spans="1:4" ht="24" customHeight="1">
      <c r="A42" s="9" t="s">
        <v>69</v>
      </c>
      <c r="B42" s="22" t="s">
        <v>79</v>
      </c>
      <c r="C42" s="154"/>
      <c r="D42" s="168"/>
    </row>
    <row r="43" spans="1:4" ht="25.5" customHeight="1">
      <c r="A43" s="10" t="s">
        <v>70</v>
      </c>
      <c r="B43" s="22" t="s">
        <v>79</v>
      </c>
      <c r="C43" s="154"/>
      <c r="D43" s="168"/>
    </row>
    <row r="44" spans="1:4" ht="14.25" customHeight="1">
      <c r="A44" s="9" t="s">
        <v>71</v>
      </c>
      <c r="B44" s="22" t="s">
        <v>168</v>
      </c>
      <c r="C44" s="154"/>
      <c r="D44" s="162"/>
    </row>
    <row r="45" spans="1:4" ht="11.25" customHeight="1">
      <c r="A45" s="169" t="s">
        <v>29</v>
      </c>
      <c r="B45" s="169"/>
      <c r="C45" s="169"/>
      <c r="D45" s="169"/>
    </row>
    <row r="46" spans="1:4" ht="35.25" customHeight="1">
      <c r="A46" s="9" t="s">
        <v>30</v>
      </c>
      <c r="B46" s="22" t="s">
        <v>22</v>
      </c>
      <c r="C46" s="154">
        <v>1.88</v>
      </c>
      <c r="D46" s="152">
        <f>C46*12*E8</f>
        <v>75039.071999999986</v>
      </c>
    </row>
    <row r="47" spans="1:4" ht="38.25" customHeight="1">
      <c r="A47" s="9" t="s">
        <v>31</v>
      </c>
      <c r="B47" s="22" t="s">
        <v>22</v>
      </c>
      <c r="C47" s="154"/>
      <c r="D47" s="152"/>
    </row>
    <row r="48" spans="1:4" ht="15" customHeight="1">
      <c r="A48" s="10" t="s">
        <v>32</v>
      </c>
      <c r="B48" s="22" t="s">
        <v>22</v>
      </c>
      <c r="C48" s="154"/>
      <c r="D48" s="152"/>
    </row>
    <row r="49" spans="1:4" ht="12.75" customHeight="1">
      <c r="A49" s="167" t="s">
        <v>33</v>
      </c>
      <c r="B49" s="167"/>
      <c r="C49" s="167"/>
      <c r="D49" s="167"/>
    </row>
    <row r="50" spans="1:4" ht="29.25" customHeight="1">
      <c r="A50" s="9" t="s">
        <v>34</v>
      </c>
      <c r="B50" s="22" t="s">
        <v>77</v>
      </c>
      <c r="C50" s="154">
        <f>0.82+0.33</f>
        <v>1.1499999999999999</v>
      </c>
      <c r="D50" s="154">
        <f>C50*12*E8</f>
        <v>45901.55999999999</v>
      </c>
    </row>
    <row r="51" spans="1:4" ht="14.25" customHeight="1">
      <c r="A51" s="9" t="s">
        <v>35</v>
      </c>
      <c r="B51" s="22" t="s">
        <v>81</v>
      </c>
      <c r="C51" s="154"/>
      <c r="D51" s="154"/>
    </row>
    <row r="52" spans="1:4" ht="17.25" customHeight="1">
      <c r="A52" s="9" t="s">
        <v>36</v>
      </c>
      <c r="B52" s="22" t="s">
        <v>81</v>
      </c>
      <c r="C52" s="154"/>
      <c r="D52" s="154"/>
    </row>
    <row r="53" spans="1:4" ht="24.75" customHeight="1">
      <c r="A53" s="9" t="s">
        <v>37</v>
      </c>
      <c r="B53" s="22" t="s">
        <v>82</v>
      </c>
      <c r="C53" s="154"/>
      <c r="D53" s="154"/>
    </row>
    <row r="54" spans="1:4" ht="30" customHeight="1">
      <c r="A54" s="9" t="s">
        <v>38</v>
      </c>
      <c r="B54" s="22" t="s">
        <v>82</v>
      </c>
      <c r="C54" s="154"/>
      <c r="D54" s="154"/>
    </row>
    <row r="55" spans="1:4" ht="12.75" customHeight="1">
      <c r="A55" s="72" t="s">
        <v>95</v>
      </c>
      <c r="B55" s="6"/>
      <c r="C55" s="154"/>
      <c r="D55" s="154"/>
    </row>
    <row r="56" spans="1:4" ht="35.25" customHeight="1">
      <c r="A56" s="9" t="s">
        <v>40</v>
      </c>
      <c r="B56" s="22" t="s">
        <v>79</v>
      </c>
      <c r="C56" s="154"/>
      <c r="D56" s="154"/>
    </row>
    <row r="57" spans="1:4" ht="14.25" customHeight="1">
      <c r="A57" s="9" t="s">
        <v>41</v>
      </c>
      <c r="B57" s="22" t="s">
        <v>80</v>
      </c>
      <c r="C57" s="154"/>
      <c r="D57" s="154"/>
    </row>
    <row r="58" spans="1:4" ht="14.25" customHeight="1">
      <c r="A58" s="9" t="s">
        <v>42</v>
      </c>
      <c r="B58" s="23" t="s">
        <v>80</v>
      </c>
      <c r="C58" s="154"/>
      <c r="D58" s="154"/>
    </row>
    <row r="59" spans="1:4" ht="13.5" customHeight="1">
      <c r="A59" s="9" t="s">
        <v>43</v>
      </c>
      <c r="B59" s="23" t="s">
        <v>80</v>
      </c>
      <c r="C59" s="154"/>
      <c r="D59" s="154"/>
    </row>
    <row r="60" spans="1:4" ht="13.5" customHeight="1">
      <c r="A60" s="9" t="s">
        <v>44</v>
      </c>
      <c r="B60" s="21" t="s">
        <v>171</v>
      </c>
      <c r="C60" s="154"/>
      <c r="D60" s="154"/>
    </row>
    <row r="61" spans="1:4" ht="36.75" customHeight="1">
      <c r="A61" s="10" t="s">
        <v>45</v>
      </c>
      <c r="B61" s="22" t="s">
        <v>22</v>
      </c>
      <c r="C61" s="154"/>
      <c r="D61" s="154"/>
    </row>
    <row r="62" spans="1:4">
      <c r="A62" s="167" t="s">
        <v>46</v>
      </c>
      <c r="B62" s="167"/>
      <c r="C62" s="167"/>
      <c r="D62" s="167"/>
    </row>
    <row r="63" spans="1:4" ht="15.75" customHeight="1">
      <c r="A63" s="9" t="s">
        <v>47</v>
      </c>
      <c r="B63" s="22" t="s">
        <v>83</v>
      </c>
      <c r="C63" s="152">
        <f>1.25+0.4</f>
        <v>1.65</v>
      </c>
      <c r="D63" s="154">
        <f>C63*E8*12-1363.8</f>
        <v>64494.959999999992</v>
      </c>
    </row>
    <row r="64" spans="1:4" ht="12.75" customHeight="1">
      <c r="A64" s="9" t="s">
        <v>48</v>
      </c>
      <c r="B64" s="22" t="s">
        <v>83</v>
      </c>
      <c r="C64" s="152"/>
      <c r="D64" s="154"/>
    </row>
    <row r="65" spans="1:4" ht="28.5" customHeight="1">
      <c r="A65" s="9" t="s">
        <v>49</v>
      </c>
      <c r="B65" s="22" t="s">
        <v>83</v>
      </c>
      <c r="C65" s="152"/>
      <c r="D65" s="154"/>
    </row>
    <row r="66" spans="1:4" ht="16.5" customHeight="1">
      <c r="A66" s="9" t="s">
        <v>50</v>
      </c>
      <c r="B66" s="22" t="s">
        <v>83</v>
      </c>
      <c r="C66" s="152"/>
      <c r="D66" s="154"/>
    </row>
    <row r="67" spans="1:4" ht="39.75" customHeight="1">
      <c r="A67" s="10" t="s">
        <v>51</v>
      </c>
      <c r="B67" s="22" t="s">
        <v>22</v>
      </c>
      <c r="C67" s="152"/>
      <c r="D67" s="154"/>
    </row>
    <row r="68" spans="1:4" ht="16.5" customHeight="1">
      <c r="A68" s="10" t="s">
        <v>52</v>
      </c>
      <c r="B68" s="23" t="s">
        <v>84</v>
      </c>
      <c r="C68" s="152"/>
      <c r="D68" s="154"/>
    </row>
    <row r="69" spans="1:4">
      <c r="A69" s="157" t="s">
        <v>85</v>
      </c>
      <c r="B69" s="158"/>
      <c r="C69" s="158"/>
      <c r="D69" s="159"/>
    </row>
    <row r="70" spans="1:4" ht="26.25" customHeight="1">
      <c r="A70" s="175" t="s">
        <v>96</v>
      </c>
      <c r="B70" s="177" t="s">
        <v>86</v>
      </c>
      <c r="C70" s="152">
        <v>2.41</v>
      </c>
      <c r="D70" s="154">
        <f>C70*E8*12</f>
        <v>96193.703999999998</v>
      </c>
    </row>
    <row r="71" spans="1:4" ht="13.5" customHeight="1">
      <c r="A71" s="176"/>
      <c r="B71" s="177"/>
      <c r="C71" s="152"/>
      <c r="D71" s="154"/>
    </row>
    <row r="72" spans="1:4" ht="15" customHeight="1">
      <c r="A72" s="157" t="s">
        <v>55</v>
      </c>
      <c r="B72" s="158"/>
      <c r="C72" s="158"/>
      <c r="D72" s="159"/>
    </row>
    <row r="73" spans="1:4" ht="16.5" customHeight="1">
      <c r="A73" s="6" t="s">
        <v>90</v>
      </c>
      <c r="B73" s="21" t="s">
        <v>87</v>
      </c>
      <c r="C73" s="170">
        <v>2.14</v>
      </c>
      <c r="D73" s="172">
        <f>C73*12*E8</f>
        <v>85416.815999999992</v>
      </c>
    </row>
    <row r="74" spans="1:4">
      <c r="A74" s="6" t="s">
        <v>91</v>
      </c>
      <c r="B74" s="21" t="s">
        <v>87</v>
      </c>
      <c r="C74" s="171"/>
      <c r="D74" s="173"/>
    </row>
    <row r="75" spans="1:4" ht="15" customHeight="1">
      <c r="A75" s="6" t="s">
        <v>92</v>
      </c>
      <c r="B75" s="21" t="s">
        <v>87</v>
      </c>
      <c r="C75" s="169"/>
      <c r="D75" s="174"/>
    </row>
    <row r="76" spans="1:4" ht="38.25" customHeight="1">
      <c r="A76" s="6" t="s">
        <v>143</v>
      </c>
      <c r="B76" s="22" t="s">
        <v>22</v>
      </c>
      <c r="C76" s="69">
        <v>4.3499999999999996</v>
      </c>
      <c r="D76" s="69">
        <f>C76*12*E8</f>
        <v>173627.63999999998</v>
      </c>
    </row>
    <row r="77" spans="1:4">
      <c r="A77" s="72" t="s">
        <v>56</v>
      </c>
      <c r="B77" s="23"/>
      <c r="C77" s="28">
        <f>C76+C73+C70+C63+C50+C46+C39+C32+C28+C21+C18+C17+C14</f>
        <v>21.62</v>
      </c>
      <c r="D77" s="28">
        <f>D76+D73+D70+D63+D50+D46+D39+D32+D28+D21+D18+D17+D14</f>
        <v>861585.52799999982</v>
      </c>
    </row>
    <row r="79" spans="1:4">
      <c r="D79" s="40"/>
    </row>
    <row r="80" spans="1:4">
      <c r="D80" s="40"/>
    </row>
    <row r="81" spans="4:4">
      <c r="D81" s="40"/>
    </row>
    <row r="82" spans="4:4">
      <c r="D82" s="40"/>
    </row>
  </sheetData>
  <mergeCells count="34">
    <mergeCell ref="C50:C61"/>
    <mergeCell ref="D50:D61"/>
    <mergeCell ref="A72:D72"/>
    <mergeCell ref="C73:C75"/>
    <mergeCell ref="D73:D75"/>
    <mergeCell ref="A62:D62"/>
    <mergeCell ref="C63:C68"/>
    <mergeCell ref="D63:D68"/>
    <mergeCell ref="A69:D69"/>
    <mergeCell ref="A70:A71"/>
    <mergeCell ref="B70:B71"/>
    <mergeCell ref="C70:C71"/>
    <mergeCell ref="D70:D71"/>
    <mergeCell ref="A45:D45"/>
    <mergeCell ref="C46:C48"/>
    <mergeCell ref="D46:D48"/>
    <mergeCell ref="A49:D49"/>
    <mergeCell ref="D14:D15"/>
    <mergeCell ref="C39:C44"/>
    <mergeCell ref="D39:D44"/>
    <mergeCell ref="C28:C29"/>
    <mergeCell ref="D28:D29"/>
    <mergeCell ref="A30:D30"/>
    <mergeCell ref="A31:D31"/>
    <mergeCell ref="C32:C37"/>
    <mergeCell ref="D32:D37"/>
    <mergeCell ref="A38:D38"/>
    <mergeCell ref="A13:D13"/>
    <mergeCell ref="A19:D19"/>
    <mergeCell ref="C21:C26"/>
    <mergeCell ref="D21:D26"/>
    <mergeCell ref="A27:D27"/>
    <mergeCell ref="B14:B15"/>
    <mergeCell ref="C14:C1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78"/>
  <sheetViews>
    <sheetView topLeftCell="A40" workbookViewId="0">
      <selection activeCell="B77" sqref="B77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167</v>
      </c>
      <c r="B2" s="2"/>
      <c r="C2" s="2"/>
      <c r="D2" s="2"/>
    </row>
    <row r="3" spans="1:4">
      <c r="A3" s="1" t="s">
        <v>268</v>
      </c>
      <c r="B3" s="2"/>
      <c r="C3" s="2"/>
      <c r="D3" s="2"/>
    </row>
    <row r="4" spans="1:4">
      <c r="A4" s="25" t="s">
        <v>58</v>
      </c>
      <c r="B4" s="2">
        <v>2011</v>
      </c>
      <c r="C4" s="2"/>
      <c r="D4" s="2"/>
    </row>
    <row r="5" spans="1:4">
      <c r="A5" s="25" t="s">
        <v>59</v>
      </c>
      <c r="B5" s="2">
        <v>3</v>
      </c>
      <c r="C5" s="2"/>
      <c r="D5" s="2"/>
    </row>
    <row r="6" spans="1:4">
      <c r="A6" s="25" t="s">
        <v>60</v>
      </c>
      <c r="B6" s="2">
        <v>2</v>
      </c>
      <c r="C6" s="2"/>
      <c r="D6" s="2"/>
    </row>
    <row r="7" spans="1:4">
      <c r="A7" s="25" t="s">
        <v>61</v>
      </c>
      <c r="B7" s="2">
        <v>24</v>
      </c>
      <c r="C7" s="2"/>
      <c r="D7" s="2"/>
    </row>
    <row r="8" spans="1:4">
      <c r="A8" s="25" t="s">
        <v>72</v>
      </c>
      <c r="B8" s="2">
        <v>842.7</v>
      </c>
      <c r="C8" s="2"/>
      <c r="D8" s="2"/>
    </row>
    <row r="9" spans="1:4">
      <c r="A9" s="25" t="s">
        <v>62</v>
      </c>
      <c r="B9" s="2">
        <v>191.7</v>
      </c>
      <c r="C9" s="2"/>
      <c r="D9" s="2"/>
    </row>
    <row r="10" spans="1:4">
      <c r="A10" s="25" t="s">
        <v>73</v>
      </c>
      <c r="B10" s="46" t="s">
        <v>100</v>
      </c>
      <c r="C10" s="2"/>
      <c r="D10" s="2"/>
    </row>
    <row r="11" spans="1:4" ht="36.75">
      <c r="A11" s="67" t="s">
        <v>1</v>
      </c>
      <c r="B11" s="67" t="s">
        <v>2</v>
      </c>
      <c r="C11" s="67" t="s">
        <v>3</v>
      </c>
      <c r="D11" s="67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1.69</v>
      </c>
      <c r="D13" s="163">
        <f>C13*12*B8</f>
        <v>17089.956000000002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191" t="s">
        <v>10</v>
      </c>
      <c r="B15" s="192"/>
      <c r="C15" s="192"/>
      <c r="D15" s="193"/>
    </row>
    <row r="16" spans="1:4" ht="13.5" customHeight="1">
      <c r="A16" s="39" t="s">
        <v>97</v>
      </c>
      <c r="B16" s="68"/>
      <c r="C16" s="68"/>
      <c r="D16" s="68"/>
    </row>
    <row r="17" spans="1:4" ht="13.5" customHeight="1">
      <c r="A17" s="6" t="s">
        <v>11</v>
      </c>
      <c r="B17" s="67" t="s">
        <v>75</v>
      </c>
      <c r="C17" s="152">
        <v>2.16</v>
      </c>
      <c r="D17" s="166">
        <f>C17*B8*12</f>
        <v>21842.784000000003</v>
      </c>
    </row>
    <row r="18" spans="1:4" ht="12.75" customHeight="1">
      <c r="A18" s="6" t="s">
        <v>12</v>
      </c>
      <c r="B18" s="67" t="s">
        <v>75</v>
      </c>
      <c r="C18" s="152"/>
      <c r="D18" s="155"/>
    </row>
    <row r="19" spans="1:4" ht="14.25" customHeight="1">
      <c r="A19" s="6" t="s">
        <v>13</v>
      </c>
      <c r="B19" s="67" t="s">
        <v>75</v>
      </c>
      <c r="C19" s="152"/>
      <c r="D19" s="155"/>
    </row>
    <row r="20" spans="1:4" ht="13.5" customHeight="1">
      <c r="A20" s="6" t="s">
        <v>14</v>
      </c>
      <c r="B20" s="67" t="s">
        <v>76</v>
      </c>
      <c r="C20" s="152"/>
      <c r="D20" s="155"/>
    </row>
    <row r="21" spans="1:4" ht="12.75" customHeight="1">
      <c r="A21" s="39" t="s">
        <v>93</v>
      </c>
      <c r="B21" s="67"/>
      <c r="C21" s="152"/>
      <c r="D21" s="155"/>
    </row>
    <row r="22" spans="1:4" ht="30" customHeight="1">
      <c r="A22" s="6" t="s">
        <v>15</v>
      </c>
      <c r="B22" s="67" t="s">
        <v>94</v>
      </c>
      <c r="C22" s="152"/>
      <c r="D22" s="156"/>
    </row>
    <row r="23" spans="1:4" ht="12.75" customHeight="1">
      <c r="A23" s="157" t="s">
        <v>16</v>
      </c>
      <c r="B23" s="158"/>
      <c r="C23" s="158"/>
      <c r="D23" s="159"/>
    </row>
    <row r="24" spans="1:4" ht="12" customHeight="1">
      <c r="A24" s="7" t="s">
        <v>17</v>
      </c>
      <c r="B24" s="21" t="s">
        <v>78</v>
      </c>
      <c r="C24" s="152">
        <v>0.2</v>
      </c>
      <c r="D24" s="167">
        <f>C24*B8*12</f>
        <v>2022.4800000000002</v>
      </c>
    </row>
    <row r="25" spans="1:4" ht="12" customHeight="1">
      <c r="A25" s="7" t="s">
        <v>18</v>
      </c>
      <c r="B25" s="21" t="s">
        <v>77</v>
      </c>
      <c r="C25" s="152"/>
      <c r="D25" s="167"/>
    </row>
    <row r="26" spans="1:4" ht="13.5" customHeight="1">
      <c r="A26" s="157" t="s">
        <v>19</v>
      </c>
      <c r="B26" s="158"/>
      <c r="C26" s="158"/>
      <c r="D26" s="159"/>
    </row>
    <row r="27" spans="1:4">
      <c r="A27" s="167" t="s">
        <v>20</v>
      </c>
      <c r="B27" s="167"/>
      <c r="C27" s="167"/>
      <c r="D27" s="167"/>
    </row>
    <row r="28" spans="1:4" ht="37.5" customHeight="1">
      <c r="A28" s="8" t="s">
        <v>21</v>
      </c>
      <c r="B28" s="22" t="s">
        <v>79</v>
      </c>
      <c r="C28" s="152">
        <v>0.61</v>
      </c>
      <c r="D28" s="154">
        <f>C28*B8*12</f>
        <v>6168.5640000000003</v>
      </c>
    </row>
    <row r="29" spans="1:4" ht="15" customHeight="1">
      <c r="A29" s="9" t="s">
        <v>23</v>
      </c>
      <c r="B29" s="23" t="s">
        <v>80</v>
      </c>
      <c r="C29" s="152"/>
      <c r="D29" s="155"/>
    </row>
    <row r="30" spans="1:4" ht="13.5" customHeight="1">
      <c r="A30" s="9" t="s">
        <v>25</v>
      </c>
      <c r="B30" s="23" t="s">
        <v>80</v>
      </c>
      <c r="C30" s="152"/>
      <c r="D30" s="155"/>
    </row>
    <row r="31" spans="1:4" ht="36" customHeight="1">
      <c r="A31" s="9" t="s">
        <v>26</v>
      </c>
      <c r="B31" s="22" t="s">
        <v>22</v>
      </c>
      <c r="C31" s="152"/>
      <c r="D31" s="155"/>
    </row>
    <row r="32" spans="1:4" ht="14.25" customHeight="1">
      <c r="A32" s="9" t="s">
        <v>27</v>
      </c>
      <c r="B32" s="22" t="s">
        <v>24</v>
      </c>
      <c r="C32" s="152"/>
      <c r="D32" s="155"/>
    </row>
    <row r="33" spans="1:4" ht="33.75" customHeight="1">
      <c r="A33" s="24" t="s">
        <v>28</v>
      </c>
      <c r="B33" s="22" t="s">
        <v>22</v>
      </c>
      <c r="C33" s="153"/>
      <c r="D33" s="156"/>
    </row>
    <row r="34" spans="1:4" ht="15.75" customHeight="1">
      <c r="A34" s="167" t="s">
        <v>65</v>
      </c>
      <c r="B34" s="167"/>
      <c r="C34" s="167"/>
      <c r="D34" s="167"/>
    </row>
    <row r="35" spans="1:4" ht="36.75" customHeight="1">
      <c r="A35" s="9" t="s">
        <v>66</v>
      </c>
      <c r="B35" s="22" t="s">
        <v>79</v>
      </c>
      <c r="C35" s="154">
        <v>1</v>
      </c>
      <c r="D35" s="152">
        <f>C35*B8*12</f>
        <v>10112.400000000001</v>
      </c>
    </row>
    <row r="36" spans="1:4" ht="14.25" customHeight="1">
      <c r="A36" s="9" t="s">
        <v>67</v>
      </c>
      <c r="B36" s="22" t="s">
        <v>80</v>
      </c>
      <c r="C36" s="154"/>
      <c r="D36" s="168"/>
    </row>
    <row r="37" spans="1:4" ht="14.25" customHeight="1">
      <c r="A37" s="9" t="s">
        <v>68</v>
      </c>
      <c r="B37" s="22" t="s">
        <v>80</v>
      </c>
      <c r="C37" s="154"/>
      <c r="D37" s="168"/>
    </row>
    <row r="38" spans="1:4" ht="24" customHeight="1">
      <c r="A38" s="9" t="s">
        <v>69</v>
      </c>
      <c r="B38" s="22" t="s">
        <v>79</v>
      </c>
      <c r="C38" s="154"/>
      <c r="D38" s="168"/>
    </row>
    <row r="39" spans="1:4" ht="25.5" customHeight="1">
      <c r="A39" s="10" t="s">
        <v>70</v>
      </c>
      <c r="B39" s="22" t="s">
        <v>79</v>
      </c>
      <c r="C39" s="154"/>
      <c r="D39" s="168"/>
    </row>
    <row r="40" spans="1:4" ht="14.25" customHeight="1">
      <c r="A40" s="9" t="s">
        <v>71</v>
      </c>
      <c r="B40" s="22" t="s">
        <v>168</v>
      </c>
      <c r="C40" s="154"/>
      <c r="D40" s="162"/>
    </row>
    <row r="41" spans="1:4" ht="11.25" customHeight="1">
      <c r="A41" s="169" t="s">
        <v>29</v>
      </c>
      <c r="B41" s="169"/>
      <c r="C41" s="169"/>
      <c r="D41" s="169"/>
    </row>
    <row r="42" spans="1:4" ht="35.25" customHeight="1">
      <c r="A42" s="9" t="s">
        <v>30</v>
      </c>
      <c r="B42" s="22" t="s">
        <v>22</v>
      </c>
      <c r="C42" s="154">
        <v>0.7</v>
      </c>
      <c r="D42" s="152">
        <f>C42*12*B8</f>
        <v>7078.6799999999994</v>
      </c>
    </row>
    <row r="43" spans="1:4" ht="38.25" customHeight="1">
      <c r="A43" s="9" t="s">
        <v>31</v>
      </c>
      <c r="B43" s="22" t="s">
        <v>22</v>
      </c>
      <c r="C43" s="154"/>
      <c r="D43" s="152"/>
    </row>
    <row r="44" spans="1:4" ht="15" customHeight="1">
      <c r="A44" s="10" t="s">
        <v>32</v>
      </c>
      <c r="B44" s="22" t="s">
        <v>22</v>
      </c>
      <c r="C44" s="154"/>
      <c r="D44" s="152"/>
    </row>
    <row r="45" spans="1:4" ht="12.75" customHeight="1">
      <c r="A45" s="167" t="s">
        <v>33</v>
      </c>
      <c r="B45" s="167"/>
      <c r="C45" s="167"/>
      <c r="D45" s="167"/>
    </row>
    <row r="46" spans="1:4" ht="29.25" customHeight="1">
      <c r="A46" s="9" t="s">
        <v>34</v>
      </c>
      <c r="B46" s="22" t="s">
        <v>77</v>
      </c>
      <c r="C46" s="154">
        <v>3.82</v>
      </c>
      <c r="D46" s="154">
        <f>C46*12*B8</f>
        <v>38629.368000000002</v>
      </c>
    </row>
    <row r="47" spans="1:4" ht="14.25" customHeight="1">
      <c r="A47" s="9" t="s">
        <v>35</v>
      </c>
      <c r="B47" s="22" t="s">
        <v>81</v>
      </c>
      <c r="C47" s="154"/>
      <c r="D47" s="154"/>
    </row>
    <row r="48" spans="1:4" ht="17.25" customHeight="1">
      <c r="A48" s="9" t="s">
        <v>36</v>
      </c>
      <c r="B48" s="22" t="s">
        <v>81</v>
      </c>
      <c r="C48" s="154"/>
      <c r="D48" s="154"/>
    </row>
    <row r="49" spans="1:4" ht="24.75" customHeight="1">
      <c r="A49" s="9" t="s">
        <v>37</v>
      </c>
      <c r="B49" s="22" t="s">
        <v>82</v>
      </c>
      <c r="C49" s="154"/>
      <c r="D49" s="154"/>
    </row>
    <row r="50" spans="1:4" ht="30" customHeight="1">
      <c r="A50" s="9" t="s">
        <v>38</v>
      </c>
      <c r="B50" s="22" t="s">
        <v>82</v>
      </c>
      <c r="C50" s="154"/>
      <c r="D50" s="154"/>
    </row>
    <row r="51" spans="1:4" ht="12.75" customHeight="1">
      <c r="A51" s="68" t="s">
        <v>95</v>
      </c>
      <c r="B51" s="6"/>
      <c r="C51" s="154"/>
      <c r="D51" s="154"/>
    </row>
    <row r="52" spans="1:4" ht="35.25" customHeight="1">
      <c r="A52" s="9" t="s">
        <v>40</v>
      </c>
      <c r="B52" s="22" t="s">
        <v>79</v>
      </c>
      <c r="C52" s="154"/>
      <c r="D52" s="154"/>
    </row>
    <row r="53" spans="1:4" ht="14.25" customHeight="1">
      <c r="A53" s="9" t="s">
        <v>41</v>
      </c>
      <c r="B53" s="22" t="s">
        <v>80</v>
      </c>
      <c r="C53" s="154"/>
      <c r="D53" s="154"/>
    </row>
    <row r="54" spans="1:4" ht="14.25" customHeight="1">
      <c r="A54" s="9" t="s">
        <v>42</v>
      </c>
      <c r="B54" s="23" t="s">
        <v>80</v>
      </c>
      <c r="C54" s="154"/>
      <c r="D54" s="154"/>
    </row>
    <row r="55" spans="1:4" ht="13.5" customHeight="1">
      <c r="A55" s="9" t="s">
        <v>43</v>
      </c>
      <c r="B55" s="23" t="s">
        <v>80</v>
      </c>
      <c r="C55" s="154"/>
      <c r="D55" s="154"/>
    </row>
    <row r="56" spans="1:4" ht="13.5" customHeight="1">
      <c r="A56" s="9" t="s">
        <v>44</v>
      </c>
      <c r="B56" s="21" t="s">
        <v>164</v>
      </c>
      <c r="C56" s="154"/>
      <c r="D56" s="154"/>
    </row>
    <row r="57" spans="1:4" ht="36.75" customHeight="1">
      <c r="A57" s="10" t="s">
        <v>45</v>
      </c>
      <c r="B57" s="22" t="s">
        <v>22</v>
      </c>
      <c r="C57" s="154"/>
      <c r="D57" s="154"/>
    </row>
    <row r="58" spans="1:4">
      <c r="A58" s="167" t="s">
        <v>46</v>
      </c>
      <c r="B58" s="167"/>
      <c r="C58" s="167"/>
      <c r="D58" s="167"/>
    </row>
    <row r="59" spans="1:4" ht="15.75" customHeight="1">
      <c r="A59" s="9" t="s">
        <v>47</v>
      </c>
      <c r="B59" s="22" t="s">
        <v>83</v>
      </c>
      <c r="C59" s="152">
        <f>1.75+0.79</f>
        <v>2.54</v>
      </c>
      <c r="D59" s="154">
        <f>C59*B8*12+72.83</f>
        <v>25758.326000000001</v>
      </c>
    </row>
    <row r="60" spans="1:4" ht="12.75" customHeight="1">
      <c r="A60" s="9" t="s">
        <v>48</v>
      </c>
      <c r="B60" s="22" t="s">
        <v>83</v>
      </c>
      <c r="C60" s="152"/>
      <c r="D60" s="154"/>
    </row>
    <row r="61" spans="1:4" ht="24" customHeight="1">
      <c r="A61" s="9" t="s">
        <v>49</v>
      </c>
      <c r="B61" s="22" t="s">
        <v>83</v>
      </c>
      <c r="C61" s="152"/>
      <c r="D61" s="154"/>
    </row>
    <row r="62" spans="1:4" ht="16.5" customHeight="1">
      <c r="A62" s="9" t="s">
        <v>50</v>
      </c>
      <c r="B62" s="22" t="s">
        <v>83</v>
      </c>
      <c r="C62" s="152"/>
      <c r="D62" s="154"/>
    </row>
    <row r="63" spans="1:4" ht="39.75" customHeight="1">
      <c r="A63" s="10" t="s">
        <v>51</v>
      </c>
      <c r="B63" s="22" t="s">
        <v>22</v>
      </c>
      <c r="C63" s="152"/>
      <c r="D63" s="154"/>
    </row>
    <row r="64" spans="1:4" ht="16.5" customHeight="1">
      <c r="A64" s="10" t="s">
        <v>52</v>
      </c>
      <c r="B64" s="23" t="s">
        <v>84</v>
      </c>
      <c r="C64" s="152"/>
      <c r="D64" s="154"/>
    </row>
    <row r="65" spans="1:4">
      <c r="A65" s="157" t="s">
        <v>85</v>
      </c>
      <c r="B65" s="158"/>
      <c r="C65" s="158"/>
      <c r="D65" s="159"/>
    </row>
    <row r="66" spans="1:4" ht="26.25" customHeight="1">
      <c r="A66" s="175" t="s">
        <v>96</v>
      </c>
      <c r="B66" s="177" t="s">
        <v>86</v>
      </c>
      <c r="C66" s="152">
        <v>2.41</v>
      </c>
      <c r="D66" s="154">
        <f>C66*B8*12</f>
        <v>24370.884000000002</v>
      </c>
    </row>
    <row r="67" spans="1:4" ht="13.5" customHeight="1">
      <c r="A67" s="176"/>
      <c r="B67" s="177"/>
      <c r="C67" s="152"/>
      <c r="D67" s="154"/>
    </row>
    <row r="68" spans="1:4" ht="15" customHeight="1">
      <c r="A68" s="157" t="s">
        <v>55</v>
      </c>
      <c r="B68" s="158"/>
      <c r="C68" s="158"/>
      <c r="D68" s="159"/>
    </row>
    <row r="69" spans="1:4" ht="16.5" customHeight="1">
      <c r="A69" s="6" t="s">
        <v>90</v>
      </c>
      <c r="B69" s="21" t="s">
        <v>87</v>
      </c>
      <c r="C69" s="170">
        <v>2.14</v>
      </c>
      <c r="D69" s="172">
        <v>21650.76</v>
      </c>
    </row>
    <row r="70" spans="1:4">
      <c r="A70" s="6" t="s">
        <v>91</v>
      </c>
      <c r="B70" s="21" t="s">
        <v>87</v>
      </c>
      <c r="C70" s="171"/>
      <c r="D70" s="173"/>
    </row>
    <row r="71" spans="1:4" ht="15" customHeight="1">
      <c r="A71" s="6" t="s">
        <v>92</v>
      </c>
      <c r="B71" s="21" t="s">
        <v>87</v>
      </c>
      <c r="C71" s="169"/>
      <c r="D71" s="174"/>
    </row>
    <row r="72" spans="1:4" ht="38.25" customHeight="1">
      <c r="A72" s="6" t="s">
        <v>143</v>
      </c>
      <c r="B72" s="22" t="s">
        <v>22</v>
      </c>
      <c r="C72" s="66">
        <v>4.3499999999999996</v>
      </c>
      <c r="D72" s="66">
        <v>44010.36</v>
      </c>
    </row>
    <row r="73" spans="1:4">
      <c r="A73" s="68" t="s">
        <v>56</v>
      </c>
      <c r="B73" s="23"/>
      <c r="C73" s="28">
        <f>C72+C69+C66+C59+C46+C42+C35+C28+C24+C17+C13</f>
        <v>21.62</v>
      </c>
      <c r="D73" s="28">
        <f>D72+D69+D66+D59+D46+D42+D35+D28+D24+D17+D13</f>
        <v>218734.56200000003</v>
      </c>
    </row>
    <row r="75" spans="1:4">
      <c r="D75" s="40"/>
    </row>
    <row r="76" spans="1:4">
      <c r="D76" s="40"/>
    </row>
    <row r="77" spans="1:4">
      <c r="D77" s="40"/>
    </row>
    <row r="78" spans="1:4">
      <c r="D78" s="40"/>
    </row>
  </sheetData>
  <mergeCells count="34">
    <mergeCell ref="A12:D12"/>
    <mergeCell ref="A15:D15"/>
    <mergeCell ref="C17:C22"/>
    <mergeCell ref="D17:D22"/>
    <mergeCell ref="A23:D23"/>
    <mergeCell ref="B13:B14"/>
    <mergeCell ref="C13:C14"/>
    <mergeCell ref="A41:D41"/>
    <mergeCell ref="C42:C44"/>
    <mergeCell ref="D42:D44"/>
    <mergeCell ref="A45:D45"/>
    <mergeCell ref="D13:D14"/>
    <mergeCell ref="C35:C40"/>
    <mergeCell ref="D35:D40"/>
    <mergeCell ref="C24:C25"/>
    <mergeCell ref="D24:D25"/>
    <mergeCell ref="A26:D26"/>
    <mergeCell ref="A27:D27"/>
    <mergeCell ref="C28:C33"/>
    <mergeCell ref="D28:D33"/>
    <mergeCell ref="A34:D34"/>
    <mergeCell ref="C46:C57"/>
    <mergeCell ref="D46:D57"/>
    <mergeCell ref="A68:D68"/>
    <mergeCell ref="C69:C71"/>
    <mergeCell ref="D69:D71"/>
    <mergeCell ref="A58:D58"/>
    <mergeCell ref="C59:C64"/>
    <mergeCell ref="D59:D64"/>
    <mergeCell ref="A65:D65"/>
    <mergeCell ref="A66:A67"/>
    <mergeCell ref="B66:B67"/>
    <mergeCell ref="C66:C67"/>
    <mergeCell ref="D66:D6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82"/>
  <sheetViews>
    <sheetView workbookViewId="0">
      <selection activeCell="A13" sqref="A13:D14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166</v>
      </c>
      <c r="B2" s="2"/>
      <c r="C2" s="2"/>
      <c r="D2" s="2"/>
    </row>
    <row r="3" spans="1:4">
      <c r="A3" s="1" t="s">
        <v>343</v>
      </c>
      <c r="B3" s="2"/>
      <c r="C3" s="2"/>
      <c r="D3" s="2"/>
    </row>
    <row r="4" spans="1:4">
      <c r="A4" s="25" t="s">
        <v>58</v>
      </c>
      <c r="B4" s="2">
        <v>1989</v>
      </c>
      <c r="C4" s="2"/>
      <c r="D4" s="2"/>
    </row>
    <row r="5" spans="1:4">
      <c r="A5" s="25" t="s">
        <v>59</v>
      </c>
      <c r="B5" s="2">
        <v>5</v>
      </c>
      <c r="C5" s="2"/>
      <c r="D5" s="2"/>
    </row>
    <row r="6" spans="1:4">
      <c r="A6" s="25" t="s">
        <v>60</v>
      </c>
      <c r="B6" s="2">
        <v>4</v>
      </c>
      <c r="C6" s="2"/>
      <c r="D6" s="2"/>
    </row>
    <row r="7" spans="1:4">
      <c r="A7" s="25" t="s">
        <v>61</v>
      </c>
      <c r="B7" s="2">
        <v>60</v>
      </c>
      <c r="C7" s="2"/>
      <c r="D7" s="2"/>
    </row>
    <row r="8" spans="1:4">
      <c r="A8" s="25" t="s">
        <v>72</v>
      </c>
      <c r="B8" s="2">
        <v>2822.1</v>
      </c>
      <c r="C8" s="2"/>
      <c r="D8" s="2"/>
    </row>
    <row r="9" spans="1:4">
      <c r="A9" s="25" t="s">
        <v>62</v>
      </c>
      <c r="B9" s="2">
        <v>251.6</v>
      </c>
      <c r="C9" s="2"/>
      <c r="D9" s="2"/>
    </row>
    <row r="10" spans="1:4">
      <c r="A10" s="25" t="s">
        <v>73</v>
      </c>
      <c r="B10" s="46">
        <v>594.4</v>
      </c>
      <c r="C10" s="2"/>
      <c r="D10" s="2"/>
    </row>
    <row r="11" spans="1:4" ht="36.75">
      <c r="A11" s="67" t="s">
        <v>1</v>
      </c>
      <c r="B11" s="67" t="s">
        <v>2</v>
      </c>
      <c r="C11" s="67" t="s">
        <v>3</v>
      </c>
      <c r="D11" s="67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1.69</v>
      </c>
      <c r="D13" s="163">
        <f>C13*12*B8</f>
        <v>57232.188000000002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6" t="s">
        <v>9</v>
      </c>
      <c r="B15" s="67"/>
      <c r="C15" s="26"/>
      <c r="D15" s="30"/>
    </row>
    <row r="16" spans="1:4">
      <c r="A16" s="6" t="s">
        <v>9</v>
      </c>
      <c r="B16" s="67"/>
      <c r="C16" s="26"/>
      <c r="D16" s="30"/>
    </row>
    <row r="17" spans="1:4">
      <c r="A17" s="6" t="s">
        <v>257</v>
      </c>
      <c r="B17" s="71" t="s">
        <v>24</v>
      </c>
      <c r="C17" s="44">
        <v>0.8</v>
      </c>
      <c r="D17" s="30">
        <f>C17*12*B8</f>
        <v>27092.160000000003</v>
      </c>
    </row>
    <row r="18" spans="1:4">
      <c r="A18" s="191" t="s">
        <v>10</v>
      </c>
      <c r="B18" s="192"/>
      <c r="C18" s="192"/>
      <c r="D18" s="193"/>
    </row>
    <row r="19" spans="1:4" ht="13.5" customHeight="1">
      <c r="A19" s="39" t="s">
        <v>97</v>
      </c>
      <c r="B19" s="68"/>
      <c r="C19" s="68"/>
      <c r="D19" s="68"/>
    </row>
    <row r="20" spans="1:4" ht="13.5" customHeight="1">
      <c r="A20" s="6" t="s">
        <v>11</v>
      </c>
      <c r="B20" s="67" t="s">
        <v>75</v>
      </c>
      <c r="C20" s="152">
        <v>2.16</v>
      </c>
      <c r="D20" s="166">
        <f>C20*B8*12</f>
        <v>73148.831999999995</v>
      </c>
    </row>
    <row r="21" spans="1:4" ht="12.75" customHeight="1">
      <c r="A21" s="6" t="s">
        <v>12</v>
      </c>
      <c r="B21" s="67" t="s">
        <v>75</v>
      </c>
      <c r="C21" s="152"/>
      <c r="D21" s="155"/>
    </row>
    <row r="22" spans="1:4" ht="14.25" customHeight="1">
      <c r="A22" s="6" t="s">
        <v>13</v>
      </c>
      <c r="B22" s="67" t="s">
        <v>75</v>
      </c>
      <c r="C22" s="152"/>
      <c r="D22" s="155"/>
    </row>
    <row r="23" spans="1:4" ht="13.5" customHeight="1">
      <c r="A23" s="6" t="s">
        <v>14</v>
      </c>
      <c r="B23" s="67" t="s">
        <v>76</v>
      </c>
      <c r="C23" s="152"/>
      <c r="D23" s="155"/>
    </row>
    <row r="24" spans="1:4" ht="12.75" customHeight="1">
      <c r="A24" s="39" t="s">
        <v>93</v>
      </c>
      <c r="B24" s="67"/>
      <c r="C24" s="152"/>
      <c r="D24" s="155"/>
    </row>
    <row r="25" spans="1:4" ht="30" customHeight="1">
      <c r="A25" s="6" t="s">
        <v>15</v>
      </c>
      <c r="B25" s="67" t="s">
        <v>94</v>
      </c>
      <c r="C25" s="152"/>
      <c r="D25" s="156"/>
    </row>
    <row r="26" spans="1:4" ht="12.75" customHeight="1">
      <c r="A26" s="157" t="s">
        <v>16</v>
      </c>
      <c r="B26" s="158"/>
      <c r="C26" s="158"/>
      <c r="D26" s="159"/>
    </row>
    <row r="27" spans="1:4" ht="12" customHeight="1">
      <c r="A27" s="7" t="s">
        <v>17</v>
      </c>
      <c r="B27" s="21" t="s">
        <v>78</v>
      </c>
      <c r="C27" s="152">
        <v>0.2</v>
      </c>
      <c r="D27" s="167">
        <f>C27*B8*12</f>
        <v>6773.0399999999991</v>
      </c>
    </row>
    <row r="28" spans="1:4" ht="12" customHeight="1">
      <c r="A28" s="7" t="s">
        <v>18</v>
      </c>
      <c r="B28" s="21" t="s">
        <v>77</v>
      </c>
      <c r="C28" s="152"/>
      <c r="D28" s="167"/>
    </row>
    <row r="29" spans="1:4" ht="13.5" customHeight="1">
      <c r="A29" s="157" t="s">
        <v>19</v>
      </c>
      <c r="B29" s="158"/>
      <c r="C29" s="158"/>
      <c r="D29" s="159"/>
    </row>
    <row r="30" spans="1:4">
      <c r="A30" s="167" t="s">
        <v>20</v>
      </c>
      <c r="B30" s="167"/>
      <c r="C30" s="167"/>
      <c r="D30" s="167"/>
    </row>
    <row r="31" spans="1:4" ht="37.5" customHeight="1">
      <c r="A31" s="8" t="s">
        <v>21</v>
      </c>
      <c r="B31" s="22" t="s">
        <v>79</v>
      </c>
      <c r="C31" s="152">
        <v>0.79</v>
      </c>
      <c r="D31" s="154">
        <f>C31*B8*12</f>
        <v>26753.507999999998</v>
      </c>
    </row>
    <row r="32" spans="1:4" ht="15" customHeight="1">
      <c r="A32" s="9" t="s">
        <v>23</v>
      </c>
      <c r="B32" s="23" t="s">
        <v>80</v>
      </c>
      <c r="C32" s="152"/>
      <c r="D32" s="155"/>
    </row>
    <row r="33" spans="1:4" ht="13.5" customHeight="1">
      <c r="A33" s="9" t="s">
        <v>25</v>
      </c>
      <c r="B33" s="23" t="s">
        <v>80</v>
      </c>
      <c r="C33" s="152"/>
      <c r="D33" s="155"/>
    </row>
    <row r="34" spans="1:4" ht="36" customHeight="1">
      <c r="A34" s="9" t="s">
        <v>26</v>
      </c>
      <c r="B34" s="22" t="s">
        <v>22</v>
      </c>
      <c r="C34" s="152"/>
      <c r="D34" s="155"/>
    </row>
    <row r="35" spans="1:4" ht="14.25" customHeight="1">
      <c r="A35" s="9" t="s">
        <v>27</v>
      </c>
      <c r="B35" s="22" t="s">
        <v>24</v>
      </c>
      <c r="C35" s="152"/>
      <c r="D35" s="155"/>
    </row>
    <row r="36" spans="1:4" ht="33.75" customHeight="1">
      <c r="A36" s="24" t="s">
        <v>28</v>
      </c>
      <c r="B36" s="22" t="s">
        <v>22</v>
      </c>
      <c r="C36" s="153"/>
      <c r="D36" s="156"/>
    </row>
    <row r="37" spans="1:4" ht="15.75" customHeight="1">
      <c r="A37" s="167" t="s">
        <v>65</v>
      </c>
      <c r="B37" s="167"/>
      <c r="C37" s="167"/>
      <c r="D37" s="167"/>
    </row>
    <row r="38" spans="1:4" ht="36.75" customHeight="1">
      <c r="A38" s="9" t="s">
        <v>66</v>
      </c>
      <c r="B38" s="22" t="s">
        <v>79</v>
      </c>
      <c r="C38" s="154">
        <v>1.69</v>
      </c>
      <c r="D38" s="152">
        <f>C38*B8*12</f>
        <v>57232.187999999995</v>
      </c>
    </row>
    <row r="39" spans="1:4" ht="14.25" customHeight="1">
      <c r="A39" s="9" t="s">
        <v>67</v>
      </c>
      <c r="B39" s="22" t="s">
        <v>80</v>
      </c>
      <c r="C39" s="154"/>
      <c r="D39" s="168"/>
    </row>
    <row r="40" spans="1:4" ht="14.25" customHeight="1">
      <c r="A40" s="9" t="s">
        <v>68</v>
      </c>
      <c r="B40" s="22" t="s">
        <v>80</v>
      </c>
      <c r="C40" s="154"/>
      <c r="D40" s="168"/>
    </row>
    <row r="41" spans="1:4" ht="24" customHeight="1">
      <c r="A41" s="9" t="s">
        <v>69</v>
      </c>
      <c r="B41" s="22" t="s">
        <v>79</v>
      </c>
      <c r="C41" s="154"/>
      <c r="D41" s="168"/>
    </row>
    <row r="42" spans="1:4" ht="25.5" customHeight="1">
      <c r="A42" s="10" t="s">
        <v>70</v>
      </c>
      <c r="B42" s="22" t="s">
        <v>79</v>
      </c>
      <c r="C42" s="154"/>
      <c r="D42" s="168"/>
    </row>
    <row r="43" spans="1:4" ht="14.25" customHeight="1">
      <c r="A43" s="9" t="s">
        <v>71</v>
      </c>
      <c r="B43" s="22" t="s">
        <v>24</v>
      </c>
      <c r="C43" s="154"/>
      <c r="D43" s="162"/>
    </row>
    <row r="44" spans="1:4" ht="11.25" customHeight="1">
      <c r="A44" s="169" t="s">
        <v>29</v>
      </c>
      <c r="B44" s="169"/>
      <c r="C44" s="169"/>
      <c r="D44" s="169"/>
    </row>
    <row r="45" spans="1:4" ht="35.25" customHeight="1">
      <c r="A45" s="9" t="s">
        <v>30</v>
      </c>
      <c r="B45" s="22" t="s">
        <v>22</v>
      </c>
      <c r="C45" s="154">
        <v>1.7</v>
      </c>
      <c r="D45" s="152">
        <f>C45*12*B8</f>
        <v>57570.84</v>
      </c>
    </row>
    <row r="46" spans="1:4" ht="38.25" customHeight="1">
      <c r="A46" s="9" t="s">
        <v>31</v>
      </c>
      <c r="B46" s="22" t="s">
        <v>22</v>
      </c>
      <c r="C46" s="154"/>
      <c r="D46" s="152"/>
    </row>
    <row r="47" spans="1:4" ht="15" customHeight="1">
      <c r="A47" s="10" t="s">
        <v>32</v>
      </c>
      <c r="B47" s="22" t="s">
        <v>22</v>
      </c>
      <c r="C47" s="154"/>
      <c r="D47" s="152"/>
    </row>
    <row r="48" spans="1:4" ht="12.75" customHeight="1">
      <c r="A48" s="167" t="s">
        <v>33</v>
      </c>
      <c r="B48" s="167"/>
      <c r="C48" s="167"/>
      <c r="D48" s="167"/>
    </row>
    <row r="49" spans="1:4" ht="29.25" customHeight="1">
      <c r="A49" s="9" t="s">
        <v>34</v>
      </c>
      <c r="B49" s="22" t="s">
        <v>77</v>
      </c>
      <c r="C49" s="154">
        <v>2.2400000000000002</v>
      </c>
      <c r="D49" s="154">
        <f>C49*12*B8</f>
        <v>75858.04800000001</v>
      </c>
    </row>
    <row r="50" spans="1:4" ht="14.25" customHeight="1">
      <c r="A50" s="9" t="s">
        <v>35</v>
      </c>
      <c r="B50" s="22" t="s">
        <v>81</v>
      </c>
      <c r="C50" s="154"/>
      <c r="D50" s="154"/>
    </row>
    <row r="51" spans="1:4" ht="17.25" customHeight="1">
      <c r="A51" s="9" t="s">
        <v>36</v>
      </c>
      <c r="B51" s="22" t="s">
        <v>81</v>
      </c>
      <c r="C51" s="154"/>
      <c r="D51" s="154"/>
    </row>
    <row r="52" spans="1:4" ht="24.75" customHeight="1">
      <c r="A52" s="9" t="s">
        <v>37</v>
      </c>
      <c r="B52" s="22" t="s">
        <v>82</v>
      </c>
      <c r="C52" s="154"/>
      <c r="D52" s="154"/>
    </row>
    <row r="53" spans="1:4" ht="30" customHeight="1">
      <c r="A53" s="9" t="s">
        <v>38</v>
      </c>
      <c r="B53" s="22" t="s">
        <v>82</v>
      </c>
      <c r="C53" s="154"/>
      <c r="D53" s="154"/>
    </row>
    <row r="54" spans="1:4" ht="12.75" customHeight="1">
      <c r="A54" s="68" t="s">
        <v>95</v>
      </c>
      <c r="B54" s="6"/>
      <c r="C54" s="154"/>
      <c r="D54" s="154"/>
    </row>
    <row r="55" spans="1:4" ht="35.25" customHeight="1">
      <c r="A55" s="9" t="s">
        <v>40</v>
      </c>
      <c r="B55" s="22" t="s">
        <v>79</v>
      </c>
      <c r="C55" s="154"/>
      <c r="D55" s="154"/>
    </row>
    <row r="56" spans="1:4" ht="14.25" customHeight="1">
      <c r="A56" s="9" t="s">
        <v>41</v>
      </c>
      <c r="B56" s="22" t="s">
        <v>80</v>
      </c>
      <c r="C56" s="154"/>
      <c r="D56" s="154"/>
    </row>
    <row r="57" spans="1:4" ht="14.25" customHeight="1">
      <c r="A57" s="9" t="s">
        <v>42</v>
      </c>
      <c r="B57" s="23" t="s">
        <v>80</v>
      </c>
      <c r="C57" s="154"/>
      <c r="D57" s="154"/>
    </row>
    <row r="58" spans="1:4" ht="13.5" customHeight="1">
      <c r="A58" s="9" t="s">
        <v>43</v>
      </c>
      <c r="B58" s="23" t="s">
        <v>80</v>
      </c>
      <c r="C58" s="154"/>
      <c r="D58" s="154"/>
    </row>
    <row r="59" spans="1:4" ht="13.5" customHeight="1">
      <c r="A59" s="9" t="s">
        <v>44</v>
      </c>
      <c r="B59" s="21" t="s">
        <v>184</v>
      </c>
      <c r="C59" s="154"/>
      <c r="D59" s="154"/>
    </row>
    <row r="60" spans="1:4" ht="36.75" customHeight="1">
      <c r="A60" s="10" t="s">
        <v>45</v>
      </c>
      <c r="B60" s="22" t="s">
        <v>22</v>
      </c>
      <c r="C60" s="154"/>
      <c r="D60" s="154"/>
    </row>
    <row r="61" spans="1:4">
      <c r="A61" s="167" t="s">
        <v>46</v>
      </c>
      <c r="B61" s="167"/>
      <c r="C61" s="167"/>
      <c r="D61" s="167"/>
    </row>
    <row r="62" spans="1:4" ht="15.75" customHeight="1">
      <c r="A62" s="9" t="s">
        <v>47</v>
      </c>
      <c r="B62" s="22" t="s">
        <v>83</v>
      </c>
      <c r="C62" s="152">
        <v>1.45</v>
      </c>
      <c r="D62" s="154">
        <f>C62*B8*12</f>
        <v>49104.539999999994</v>
      </c>
    </row>
    <row r="63" spans="1:4" ht="12.75" customHeight="1">
      <c r="A63" s="9" t="s">
        <v>48</v>
      </c>
      <c r="B63" s="22" t="s">
        <v>83</v>
      </c>
      <c r="C63" s="152"/>
      <c r="D63" s="154"/>
    </row>
    <row r="64" spans="1:4" ht="30.75" customHeight="1">
      <c r="A64" s="9" t="s">
        <v>49</v>
      </c>
      <c r="B64" s="22" t="s">
        <v>83</v>
      </c>
      <c r="C64" s="152"/>
      <c r="D64" s="154"/>
    </row>
    <row r="65" spans="1:4" ht="16.5" customHeight="1">
      <c r="A65" s="9" t="s">
        <v>50</v>
      </c>
      <c r="B65" s="22" t="s">
        <v>83</v>
      </c>
      <c r="C65" s="152"/>
      <c r="D65" s="154"/>
    </row>
    <row r="66" spans="1:4" ht="39.75" customHeight="1">
      <c r="A66" s="10" t="s">
        <v>51</v>
      </c>
      <c r="B66" s="22" t="s">
        <v>22</v>
      </c>
      <c r="C66" s="152"/>
      <c r="D66" s="154"/>
    </row>
    <row r="67" spans="1:4" ht="16.5" customHeight="1">
      <c r="A67" s="10" t="s">
        <v>52</v>
      </c>
      <c r="B67" s="23" t="s">
        <v>84</v>
      </c>
      <c r="C67" s="152"/>
      <c r="D67" s="154"/>
    </row>
    <row r="68" spans="1:4">
      <c r="A68" s="157" t="s">
        <v>85</v>
      </c>
      <c r="B68" s="158"/>
      <c r="C68" s="158"/>
      <c r="D68" s="159"/>
    </row>
    <row r="69" spans="1:4" ht="26.25" customHeight="1">
      <c r="A69" s="175" t="s">
        <v>96</v>
      </c>
      <c r="B69" s="177" t="s">
        <v>86</v>
      </c>
      <c r="C69" s="152">
        <v>2.41</v>
      </c>
      <c r="D69" s="154">
        <f>C69*B8*12+94.65</f>
        <v>81709.782000000007</v>
      </c>
    </row>
    <row r="70" spans="1:4" ht="13.5" customHeight="1">
      <c r="A70" s="176"/>
      <c r="B70" s="177"/>
      <c r="C70" s="152"/>
      <c r="D70" s="154"/>
    </row>
    <row r="71" spans="1:4" ht="15" customHeight="1">
      <c r="A71" s="157" t="s">
        <v>55</v>
      </c>
      <c r="B71" s="158"/>
      <c r="C71" s="158"/>
      <c r="D71" s="159"/>
    </row>
    <row r="72" spans="1:4" ht="16.5" customHeight="1">
      <c r="A72" s="6" t="s">
        <v>90</v>
      </c>
      <c r="B72" s="21" t="s">
        <v>87</v>
      </c>
      <c r="C72" s="170">
        <v>2.14</v>
      </c>
      <c r="D72" s="172">
        <f>6039.36+66446.22</f>
        <v>72485.58</v>
      </c>
    </row>
    <row r="73" spans="1:4">
      <c r="A73" s="6" t="s">
        <v>91</v>
      </c>
      <c r="B73" s="21" t="s">
        <v>87</v>
      </c>
      <c r="C73" s="171"/>
      <c r="D73" s="173"/>
    </row>
    <row r="74" spans="1:4" ht="15" customHeight="1">
      <c r="A74" s="6" t="s">
        <v>92</v>
      </c>
      <c r="B74" s="21" t="s">
        <v>87</v>
      </c>
      <c r="C74" s="169"/>
      <c r="D74" s="174"/>
    </row>
    <row r="75" spans="1:4" ht="38.25" customHeight="1">
      <c r="A75" s="6" t="s">
        <v>143</v>
      </c>
      <c r="B75" s="22" t="s">
        <v>22</v>
      </c>
      <c r="C75" s="66">
        <v>4.3499999999999996</v>
      </c>
      <c r="D75" s="66">
        <v>144846.82</v>
      </c>
    </row>
    <row r="76" spans="1:4" ht="18" customHeight="1">
      <c r="A76" s="6" t="s">
        <v>183</v>
      </c>
      <c r="B76" s="22"/>
      <c r="C76" s="66"/>
      <c r="D76" s="66">
        <f>-47.8*15.13*12</f>
        <v>-8678.5679999999993</v>
      </c>
    </row>
    <row r="77" spans="1:4">
      <c r="A77" s="68" t="s">
        <v>56</v>
      </c>
      <c r="B77" s="23"/>
      <c r="C77" s="28">
        <f>C75+C72+C69+C62+C49+C45+C38+C31+C27+C20+C17+C13</f>
        <v>21.62</v>
      </c>
      <c r="D77" s="28">
        <f>D75+D72+D69+D62+D49+D45+D38+D31+D27+D20+D17+D13+D76</f>
        <v>721128.9580000001</v>
      </c>
    </row>
    <row r="79" spans="1:4">
      <c r="D79" s="40"/>
    </row>
    <row r="80" spans="1:4">
      <c r="D80" s="40"/>
    </row>
    <row r="81" spans="4:4">
      <c r="D81" s="40"/>
    </row>
    <row r="82" spans="4:4">
      <c r="D82" s="40"/>
    </row>
  </sheetData>
  <mergeCells count="34">
    <mergeCell ref="A12:D12"/>
    <mergeCell ref="A18:D18"/>
    <mergeCell ref="C20:C25"/>
    <mergeCell ref="D20:D25"/>
    <mergeCell ref="A26:D26"/>
    <mergeCell ref="B13:B14"/>
    <mergeCell ref="C13:C14"/>
    <mergeCell ref="A44:D44"/>
    <mergeCell ref="C45:C47"/>
    <mergeCell ref="D45:D47"/>
    <mergeCell ref="A48:D48"/>
    <mergeCell ref="D13:D14"/>
    <mergeCell ref="C38:C43"/>
    <mergeCell ref="D38:D43"/>
    <mergeCell ref="C27:C28"/>
    <mergeCell ref="D27:D28"/>
    <mergeCell ref="A29:D29"/>
    <mergeCell ref="A30:D30"/>
    <mergeCell ref="C31:C36"/>
    <mergeCell ref="D31:D36"/>
    <mergeCell ref="A37:D37"/>
    <mergeCell ref="C49:C60"/>
    <mergeCell ref="D49:D60"/>
    <mergeCell ref="A71:D71"/>
    <mergeCell ref="C72:C74"/>
    <mergeCell ref="D72:D74"/>
    <mergeCell ref="A61:D61"/>
    <mergeCell ref="C62:C67"/>
    <mergeCell ref="D62:D67"/>
    <mergeCell ref="A68:D68"/>
    <mergeCell ref="A69:A70"/>
    <mergeCell ref="B69:B70"/>
    <mergeCell ref="C69:C70"/>
    <mergeCell ref="D69:D7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82"/>
  <sheetViews>
    <sheetView workbookViewId="0">
      <selection activeCell="D80" sqref="D80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163</v>
      </c>
      <c r="B2" s="2"/>
      <c r="C2" s="2"/>
      <c r="D2" s="2"/>
    </row>
    <row r="3" spans="1:4">
      <c r="A3" s="1" t="s">
        <v>345</v>
      </c>
      <c r="B3" s="2"/>
      <c r="C3" s="2"/>
      <c r="D3" s="2"/>
    </row>
    <row r="4" spans="1:4">
      <c r="A4" s="25" t="s">
        <v>58</v>
      </c>
      <c r="B4" s="2">
        <v>1987</v>
      </c>
      <c r="C4" s="2"/>
      <c r="D4" s="2"/>
    </row>
    <row r="5" spans="1:4">
      <c r="A5" s="25" t="s">
        <v>59</v>
      </c>
      <c r="B5" s="2">
        <v>4</v>
      </c>
      <c r="C5" s="2"/>
      <c r="D5" s="2"/>
    </row>
    <row r="6" spans="1:4">
      <c r="A6" s="25" t="s">
        <v>60</v>
      </c>
      <c r="B6" s="2">
        <v>3</v>
      </c>
      <c r="C6" s="2"/>
      <c r="D6" s="2"/>
    </row>
    <row r="7" spans="1:4">
      <c r="A7" s="25" t="s">
        <v>61</v>
      </c>
      <c r="B7" s="2">
        <v>36</v>
      </c>
      <c r="C7" s="2"/>
      <c r="D7" s="2"/>
    </row>
    <row r="8" spans="1:4">
      <c r="A8" s="25" t="s">
        <v>72</v>
      </c>
      <c r="B8" s="2">
        <v>1725</v>
      </c>
      <c r="C8" s="2"/>
      <c r="D8" s="2"/>
    </row>
    <row r="9" spans="1:4">
      <c r="A9" s="25" t="s">
        <v>62</v>
      </c>
      <c r="B9" s="2">
        <v>170</v>
      </c>
      <c r="C9" s="2"/>
      <c r="D9" s="2"/>
    </row>
    <row r="10" spans="1:4">
      <c r="A10" s="25" t="s">
        <v>73</v>
      </c>
      <c r="B10" s="41">
        <v>447.8</v>
      </c>
      <c r="C10" s="2"/>
      <c r="D10" s="2"/>
    </row>
    <row r="11" spans="1:4" ht="36.75">
      <c r="A11" s="67" t="s">
        <v>1</v>
      </c>
      <c r="B11" s="67" t="s">
        <v>2</v>
      </c>
      <c r="C11" s="67" t="s">
        <v>3</v>
      </c>
      <c r="D11" s="67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1.02</v>
      </c>
      <c r="D13" s="163">
        <f>C13*12*B8</f>
        <v>21114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6" t="s">
        <v>9</v>
      </c>
      <c r="B15" s="67"/>
      <c r="C15" s="26"/>
      <c r="D15" s="30"/>
    </row>
    <row r="16" spans="1:4">
      <c r="A16" s="6" t="s">
        <v>346</v>
      </c>
      <c r="B16" s="132" t="s">
        <v>88</v>
      </c>
      <c r="C16" s="44">
        <f>D16/12/B8</f>
        <v>0.41642512077294686</v>
      </c>
      <c r="D16" s="30">
        <v>8620</v>
      </c>
    </row>
    <row r="17" spans="1:4">
      <c r="A17" s="6" t="s">
        <v>347</v>
      </c>
      <c r="B17" s="67" t="s">
        <v>88</v>
      </c>
      <c r="C17" s="44">
        <v>3.08</v>
      </c>
      <c r="D17" s="30">
        <f>C17*12*B8</f>
        <v>63756</v>
      </c>
    </row>
    <row r="18" spans="1:4">
      <c r="A18" s="165" t="s">
        <v>10</v>
      </c>
      <c r="B18" s="165"/>
      <c r="C18" s="165"/>
      <c r="D18" s="165"/>
    </row>
    <row r="19" spans="1:4" ht="13.5" customHeight="1">
      <c r="A19" s="39" t="s">
        <v>97</v>
      </c>
      <c r="B19" s="68"/>
      <c r="C19" s="68"/>
      <c r="D19" s="68"/>
    </row>
    <row r="20" spans="1:4" ht="13.5" customHeight="1">
      <c r="A20" s="6" t="s">
        <v>11</v>
      </c>
      <c r="B20" s="67" t="s">
        <v>75</v>
      </c>
      <c r="C20" s="152">
        <v>2.16</v>
      </c>
      <c r="D20" s="166">
        <f>C20*B8*12</f>
        <v>44712.000000000007</v>
      </c>
    </row>
    <row r="21" spans="1:4" ht="12.75" customHeight="1">
      <c r="A21" s="6" t="s">
        <v>12</v>
      </c>
      <c r="B21" s="67" t="s">
        <v>75</v>
      </c>
      <c r="C21" s="152"/>
      <c r="D21" s="155"/>
    </row>
    <row r="22" spans="1:4" ht="14.25" customHeight="1">
      <c r="A22" s="6" t="s">
        <v>13</v>
      </c>
      <c r="B22" s="67" t="s">
        <v>75</v>
      </c>
      <c r="C22" s="152"/>
      <c r="D22" s="155"/>
    </row>
    <row r="23" spans="1:4" ht="13.5" customHeight="1">
      <c r="A23" s="6" t="s">
        <v>14</v>
      </c>
      <c r="B23" s="67" t="s">
        <v>76</v>
      </c>
      <c r="C23" s="152"/>
      <c r="D23" s="155"/>
    </row>
    <row r="24" spans="1:4" ht="12.75" customHeight="1">
      <c r="A24" s="39" t="s">
        <v>93</v>
      </c>
      <c r="B24" s="67"/>
      <c r="C24" s="152"/>
      <c r="D24" s="155"/>
    </row>
    <row r="25" spans="1:4" ht="30" customHeight="1">
      <c r="A25" s="6" t="s">
        <v>15</v>
      </c>
      <c r="B25" s="67" t="s">
        <v>94</v>
      </c>
      <c r="C25" s="152"/>
      <c r="D25" s="156"/>
    </row>
    <row r="26" spans="1:4" ht="12.75" customHeight="1">
      <c r="A26" s="157" t="s">
        <v>16</v>
      </c>
      <c r="B26" s="158"/>
      <c r="C26" s="158"/>
      <c r="D26" s="159"/>
    </row>
    <row r="27" spans="1:4" ht="12" customHeight="1">
      <c r="A27" s="7" t="s">
        <v>17</v>
      </c>
      <c r="B27" s="21" t="s">
        <v>78</v>
      </c>
      <c r="C27" s="152">
        <v>0.2</v>
      </c>
      <c r="D27" s="167">
        <f>C27*B8*12</f>
        <v>4140</v>
      </c>
    </row>
    <row r="28" spans="1:4" ht="12" customHeight="1">
      <c r="A28" s="7" t="s">
        <v>18</v>
      </c>
      <c r="B28" s="21" t="s">
        <v>77</v>
      </c>
      <c r="C28" s="152"/>
      <c r="D28" s="167"/>
    </row>
    <row r="29" spans="1:4" ht="13.5" customHeight="1">
      <c r="A29" s="157" t="s">
        <v>19</v>
      </c>
      <c r="B29" s="158"/>
      <c r="C29" s="158"/>
      <c r="D29" s="159"/>
    </row>
    <row r="30" spans="1:4">
      <c r="A30" s="167" t="s">
        <v>20</v>
      </c>
      <c r="B30" s="167"/>
      <c r="C30" s="167"/>
      <c r="D30" s="167"/>
    </row>
    <row r="31" spans="1:4" ht="37.5" customHeight="1">
      <c r="A31" s="8" t="s">
        <v>21</v>
      </c>
      <c r="B31" s="22" t="s">
        <v>79</v>
      </c>
      <c r="C31" s="152">
        <v>0.52</v>
      </c>
      <c r="D31" s="154">
        <f>C31*B8*12</f>
        <v>10764</v>
      </c>
    </row>
    <row r="32" spans="1:4" ht="15" customHeight="1">
      <c r="A32" s="9" t="s">
        <v>23</v>
      </c>
      <c r="B32" s="23" t="s">
        <v>80</v>
      </c>
      <c r="C32" s="152"/>
      <c r="D32" s="155"/>
    </row>
    <row r="33" spans="1:4" ht="13.5" customHeight="1">
      <c r="A33" s="9" t="s">
        <v>25</v>
      </c>
      <c r="B33" s="23" t="s">
        <v>80</v>
      </c>
      <c r="C33" s="152"/>
      <c r="D33" s="155"/>
    </row>
    <row r="34" spans="1:4" ht="36" customHeight="1">
      <c r="A34" s="9" t="s">
        <v>26</v>
      </c>
      <c r="B34" s="22" t="s">
        <v>22</v>
      </c>
      <c r="C34" s="152"/>
      <c r="D34" s="155"/>
    </row>
    <row r="35" spans="1:4" ht="14.25" customHeight="1">
      <c r="A35" s="9" t="s">
        <v>27</v>
      </c>
      <c r="B35" s="22" t="s">
        <v>24</v>
      </c>
      <c r="C35" s="152"/>
      <c r="D35" s="155"/>
    </row>
    <row r="36" spans="1:4" ht="33.75" customHeight="1">
      <c r="A36" s="24" t="s">
        <v>28</v>
      </c>
      <c r="B36" s="22" t="s">
        <v>22</v>
      </c>
      <c r="C36" s="153"/>
      <c r="D36" s="156"/>
    </row>
    <row r="37" spans="1:4" ht="15.75" customHeight="1">
      <c r="A37" s="167" t="s">
        <v>65</v>
      </c>
      <c r="B37" s="167"/>
      <c r="C37" s="167"/>
      <c r="D37" s="167"/>
    </row>
    <row r="38" spans="1:4" ht="36.75" customHeight="1">
      <c r="A38" s="9" t="s">
        <v>66</v>
      </c>
      <c r="B38" s="22" t="s">
        <v>79</v>
      </c>
      <c r="C38" s="154">
        <v>1.17</v>
      </c>
      <c r="D38" s="152">
        <f>C38*B8*12</f>
        <v>24218.999999999996</v>
      </c>
    </row>
    <row r="39" spans="1:4" ht="14.25" customHeight="1">
      <c r="A39" s="9" t="s">
        <v>67</v>
      </c>
      <c r="B39" s="22" t="s">
        <v>80</v>
      </c>
      <c r="C39" s="154"/>
      <c r="D39" s="168"/>
    </row>
    <row r="40" spans="1:4" ht="14.25" customHeight="1">
      <c r="A40" s="9" t="s">
        <v>68</v>
      </c>
      <c r="B40" s="22" t="s">
        <v>80</v>
      </c>
      <c r="C40" s="154"/>
      <c r="D40" s="168"/>
    </row>
    <row r="41" spans="1:4" ht="24" customHeight="1">
      <c r="A41" s="9" t="s">
        <v>69</v>
      </c>
      <c r="B41" s="22" t="s">
        <v>79</v>
      </c>
      <c r="C41" s="154"/>
      <c r="D41" s="168"/>
    </row>
    <row r="42" spans="1:4" ht="25.5" customHeight="1">
      <c r="A42" s="10" t="s">
        <v>70</v>
      </c>
      <c r="B42" s="22" t="s">
        <v>79</v>
      </c>
      <c r="C42" s="154"/>
      <c r="D42" s="168"/>
    </row>
    <row r="43" spans="1:4" ht="14.25" customHeight="1">
      <c r="A43" s="9" t="s">
        <v>71</v>
      </c>
      <c r="B43" s="22" t="s">
        <v>24</v>
      </c>
      <c r="C43" s="154"/>
      <c r="D43" s="162"/>
    </row>
    <row r="44" spans="1:4" ht="11.25" customHeight="1">
      <c r="A44" s="169" t="s">
        <v>29</v>
      </c>
      <c r="B44" s="169"/>
      <c r="C44" s="169"/>
      <c r="D44" s="169"/>
    </row>
    <row r="45" spans="1:4" ht="35.25" customHeight="1">
      <c r="A45" s="9" t="s">
        <v>30</v>
      </c>
      <c r="B45" s="22" t="s">
        <v>22</v>
      </c>
      <c r="C45" s="154">
        <v>0.79</v>
      </c>
      <c r="D45" s="152">
        <f>C45*12*B8</f>
        <v>16353</v>
      </c>
    </row>
    <row r="46" spans="1:4" ht="38.25" customHeight="1">
      <c r="A46" s="9" t="s">
        <v>31</v>
      </c>
      <c r="B46" s="22" t="s">
        <v>22</v>
      </c>
      <c r="C46" s="154"/>
      <c r="D46" s="152"/>
    </row>
    <row r="47" spans="1:4" ht="15" customHeight="1">
      <c r="A47" s="10" t="s">
        <v>32</v>
      </c>
      <c r="B47" s="22" t="s">
        <v>22</v>
      </c>
      <c r="C47" s="154"/>
      <c r="D47" s="152"/>
    </row>
    <row r="48" spans="1:4" ht="12.75" customHeight="1">
      <c r="A48" s="167" t="s">
        <v>33</v>
      </c>
      <c r="B48" s="167"/>
      <c r="C48" s="167"/>
      <c r="D48" s="167"/>
    </row>
    <row r="49" spans="1:4" ht="29.25" customHeight="1">
      <c r="A49" s="9" t="s">
        <v>34</v>
      </c>
      <c r="B49" s="22" t="s">
        <v>77</v>
      </c>
      <c r="C49" s="154">
        <v>1.22</v>
      </c>
      <c r="D49" s="154">
        <f>C49*12*B8</f>
        <v>25254</v>
      </c>
    </row>
    <row r="50" spans="1:4" ht="14.25" customHeight="1">
      <c r="A50" s="9" t="s">
        <v>35</v>
      </c>
      <c r="B50" s="22" t="s">
        <v>81</v>
      </c>
      <c r="C50" s="154"/>
      <c r="D50" s="154"/>
    </row>
    <row r="51" spans="1:4" ht="17.25" customHeight="1">
      <c r="A51" s="9" t="s">
        <v>36</v>
      </c>
      <c r="B51" s="22" t="s">
        <v>81</v>
      </c>
      <c r="C51" s="154"/>
      <c r="D51" s="154"/>
    </row>
    <row r="52" spans="1:4" ht="24.75" customHeight="1">
      <c r="A52" s="9" t="s">
        <v>37</v>
      </c>
      <c r="B52" s="22" t="s">
        <v>82</v>
      </c>
      <c r="C52" s="154"/>
      <c r="D52" s="154"/>
    </row>
    <row r="53" spans="1:4" ht="30" customHeight="1">
      <c r="A53" s="9" t="s">
        <v>38</v>
      </c>
      <c r="B53" s="22" t="s">
        <v>82</v>
      </c>
      <c r="C53" s="154"/>
      <c r="D53" s="154"/>
    </row>
    <row r="54" spans="1:4" ht="12.75" customHeight="1">
      <c r="A54" s="68" t="s">
        <v>95</v>
      </c>
      <c r="B54" s="6"/>
      <c r="C54" s="154"/>
      <c r="D54" s="154"/>
    </row>
    <row r="55" spans="1:4" ht="35.25" customHeight="1">
      <c r="A55" s="9" t="s">
        <v>40</v>
      </c>
      <c r="B55" s="22" t="s">
        <v>79</v>
      </c>
      <c r="C55" s="154"/>
      <c r="D55" s="154"/>
    </row>
    <row r="56" spans="1:4" ht="14.25" customHeight="1">
      <c r="A56" s="9" t="s">
        <v>41</v>
      </c>
      <c r="B56" s="22" t="s">
        <v>80</v>
      </c>
      <c r="C56" s="154"/>
      <c r="D56" s="154"/>
    </row>
    <row r="57" spans="1:4" ht="14.25" customHeight="1">
      <c r="A57" s="9" t="s">
        <v>42</v>
      </c>
      <c r="B57" s="23" t="s">
        <v>80</v>
      </c>
      <c r="C57" s="154"/>
      <c r="D57" s="154"/>
    </row>
    <row r="58" spans="1:4" ht="13.5" customHeight="1">
      <c r="A58" s="9" t="s">
        <v>43</v>
      </c>
      <c r="B58" s="23" t="s">
        <v>80</v>
      </c>
      <c r="C58" s="154"/>
      <c r="D58" s="154"/>
    </row>
    <row r="59" spans="1:4" ht="13.5" customHeight="1">
      <c r="A59" s="9" t="s">
        <v>44</v>
      </c>
      <c r="B59" s="21" t="s">
        <v>164</v>
      </c>
      <c r="C59" s="154"/>
      <c r="D59" s="154"/>
    </row>
    <row r="60" spans="1:4" ht="36.75" customHeight="1">
      <c r="A60" s="10" t="s">
        <v>45</v>
      </c>
      <c r="B60" s="22" t="s">
        <v>22</v>
      </c>
      <c r="C60" s="154"/>
      <c r="D60" s="154"/>
    </row>
    <row r="61" spans="1:4">
      <c r="A61" s="167" t="s">
        <v>46</v>
      </c>
      <c r="B61" s="167"/>
      <c r="C61" s="167"/>
      <c r="D61" s="167"/>
    </row>
    <row r="62" spans="1:4" ht="15.75" customHeight="1">
      <c r="A62" s="9" t="s">
        <v>47</v>
      </c>
      <c r="B62" s="22" t="s">
        <v>83</v>
      </c>
      <c r="C62" s="152">
        <v>2.2400000000000002</v>
      </c>
      <c r="D62" s="154">
        <f>C62*B8*12</f>
        <v>46368.000000000007</v>
      </c>
    </row>
    <row r="63" spans="1:4" ht="12.75" customHeight="1">
      <c r="A63" s="9" t="s">
        <v>48</v>
      </c>
      <c r="B63" s="22" t="s">
        <v>83</v>
      </c>
      <c r="C63" s="152"/>
      <c r="D63" s="154"/>
    </row>
    <row r="64" spans="1:4" ht="25.5" customHeight="1">
      <c r="A64" s="9" t="s">
        <v>49</v>
      </c>
      <c r="B64" s="22" t="s">
        <v>83</v>
      </c>
      <c r="C64" s="152"/>
      <c r="D64" s="154"/>
    </row>
    <row r="65" spans="1:4" ht="16.5" customHeight="1">
      <c r="A65" s="9" t="s">
        <v>50</v>
      </c>
      <c r="B65" s="22" t="s">
        <v>83</v>
      </c>
      <c r="C65" s="152"/>
      <c r="D65" s="154"/>
    </row>
    <row r="66" spans="1:4" ht="39.75" customHeight="1">
      <c r="A66" s="10" t="s">
        <v>51</v>
      </c>
      <c r="B66" s="22" t="s">
        <v>22</v>
      </c>
      <c r="C66" s="152"/>
      <c r="D66" s="154"/>
    </row>
    <row r="67" spans="1:4" ht="16.5" customHeight="1">
      <c r="A67" s="10" t="s">
        <v>52</v>
      </c>
      <c r="B67" s="23" t="s">
        <v>84</v>
      </c>
      <c r="C67" s="152"/>
      <c r="D67" s="154"/>
    </row>
    <row r="68" spans="1:4">
      <c r="A68" s="157" t="s">
        <v>85</v>
      </c>
      <c r="B68" s="158"/>
      <c r="C68" s="158"/>
      <c r="D68" s="159"/>
    </row>
    <row r="69" spans="1:4" ht="26.25" customHeight="1">
      <c r="A69" s="175" t="s">
        <v>96</v>
      </c>
      <c r="B69" s="177" t="s">
        <v>86</v>
      </c>
      <c r="C69" s="152">
        <v>2.31</v>
      </c>
      <c r="D69" s="154">
        <f>C69*B8*12+74.37</f>
        <v>47891.37</v>
      </c>
    </row>
    <row r="70" spans="1:4" ht="13.5" customHeight="1">
      <c r="A70" s="176"/>
      <c r="B70" s="177"/>
      <c r="C70" s="152"/>
      <c r="D70" s="154"/>
    </row>
    <row r="71" spans="1:4" ht="15" customHeight="1">
      <c r="A71" s="157" t="s">
        <v>55</v>
      </c>
      <c r="B71" s="158"/>
      <c r="C71" s="158"/>
      <c r="D71" s="159"/>
    </row>
    <row r="72" spans="1:4" ht="16.5" customHeight="1">
      <c r="A72" s="6" t="s">
        <v>90</v>
      </c>
      <c r="B72" s="21" t="s">
        <v>87</v>
      </c>
      <c r="C72" s="170">
        <v>2.14</v>
      </c>
      <c r="D72" s="172">
        <f>C72*12*B8</f>
        <v>44298</v>
      </c>
    </row>
    <row r="73" spans="1:4">
      <c r="A73" s="6" t="s">
        <v>91</v>
      </c>
      <c r="B73" s="21" t="s">
        <v>87</v>
      </c>
      <c r="C73" s="171"/>
      <c r="D73" s="173"/>
    </row>
    <row r="74" spans="1:4" ht="15" customHeight="1">
      <c r="A74" s="6" t="s">
        <v>92</v>
      </c>
      <c r="B74" s="21" t="s">
        <v>87</v>
      </c>
      <c r="C74" s="169"/>
      <c r="D74" s="174"/>
    </row>
    <row r="75" spans="1:4" ht="38.25" customHeight="1">
      <c r="A75" s="6" t="s">
        <v>143</v>
      </c>
      <c r="B75" s="22" t="s">
        <v>22</v>
      </c>
      <c r="C75" s="66">
        <v>4.3499999999999996</v>
      </c>
      <c r="D75" s="66">
        <v>86982</v>
      </c>
    </row>
    <row r="76" spans="1:4" ht="18" customHeight="1">
      <c r="A76" s="6" t="s">
        <v>165</v>
      </c>
      <c r="B76" s="22"/>
      <c r="C76" s="66"/>
      <c r="D76" s="66">
        <f>-58.7*12*15.13</f>
        <v>-10657.572000000002</v>
      </c>
    </row>
    <row r="77" spans="1:4">
      <c r="A77" s="68" t="s">
        <v>56</v>
      </c>
      <c r="B77" s="23"/>
      <c r="C77" s="28">
        <f>C75+C72+C69+C62+C49+C45+C38+C31+C27+C20+C17+C16+C13</f>
        <v>21.616425120772945</v>
      </c>
      <c r="D77" s="28">
        <f>D75+D72+D69+D62+D49+D45+D38+D31+D27+D20+D17+D16+D13+D76</f>
        <v>433813.79800000001</v>
      </c>
    </row>
    <row r="79" spans="1:4">
      <c r="D79" s="40"/>
    </row>
    <row r="80" spans="1:4">
      <c r="D80" s="40"/>
    </row>
    <row r="81" spans="4:4">
      <c r="D81" s="40"/>
    </row>
    <row r="82" spans="4:4">
      <c r="D82" s="40"/>
    </row>
  </sheetData>
  <mergeCells count="34">
    <mergeCell ref="A44:D44"/>
    <mergeCell ref="C45:C47"/>
    <mergeCell ref="D45:D47"/>
    <mergeCell ref="C38:C43"/>
    <mergeCell ref="D38:D43"/>
    <mergeCell ref="A37:D37"/>
    <mergeCell ref="A12:D12"/>
    <mergeCell ref="A18:D18"/>
    <mergeCell ref="C20:C25"/>
    <mergeCell ref="D20:D25"/>
    <mergeCell ref="A26:D26"/>
    <mergeCell ref="D13:D14"/>
    <mergeCell ref="B13:B14"/>
    <mergeCell ref="C13:C14"/>
    <mergeCell ref="C27:C28"/>
    <mergeCell ref="D27:D28"/>
    <mergeCell ref="A29:D29"/>
    <mergeCell ref="A30:D30"/>
    <mergeCell ref="C31:C36"/>
    <mergeCell ref="D31:D36"/>
    <mergeCell ref="A48:D48"/>
    <mergeCell ref="A71:D71"/>
    <mergeCell ref="C72:C74"/>
    <mergeCell ref="D72:D74"/>
    <mergeCell ref="A61:D61"/>
    <mergeCell ref="C62:C67"/>
    <mergeCell ref="D62:D67"/>
    <mergeCell ref="A68:D68"/>
    <mergeCell ref="A69:A70"/>
    <mergeCell ref="B69:B70"/>
    <mergeCell ref="C69:C70"/>
    <mergeCell ref="D69:D70"/>
    <mergeCell ref="C49:C60"/>
    <mergeCell ref="D49:D6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F73"/>
  <sheetViews>
    <sheetView workbookViewId="0">
      <selection activeCell="A13" sqref="A13:D14"/>
    </sheetView>
  </sheetViews>
  <sheetFormatPr defaultRowHeight="15"/>
  <cols>
    <col min="1" max="1" width="88.85546875" customWidth="1"/>
    <col min="2" max="2" width="13" customWidth="1"/>
    <col min="3" max="3" width="10" customWidth="1"/>
    <col min="4" max="4" width="12" customWidth="1"/>
  </cols>
  <sheetData>
    <row r="1" spans="1:6">
      <c r="A1" s="1" t="s">
        <v>0</v>
      </c>
      <c r="B1" s="2"/>
      <c r="C1" s="2"/>
      <c r="D1" s="2" t="s">
        <v>64</v>
      </c>
    </row>
    <row r="2" spans="1:6">
      <c r="A2" s="1" t="s">
        <v>160</v>
      </c>
      <c r="B2" s="2"/>
      <c r="C2" s="2"/>
      <c r="D2" s="2"/>
    </row>
    <row r="3" spans="1:6">
      <c r="A3" s="1" t="s">
        <v>335</v>
      </c>
      <c r="B3" s="2"/>
      <c r="C3" s="2"/>
      <c r="D3" s="2"/>
    </row>
    <row r="4" spans="1:6">
      <c r="A4" s="25" t="s">
        <v>58</v>
      </c>
      <c r="B4" s="2">
        <v>1964</v>
      </c>
      <c r="C4" s="2"/>
      <c r="D4" s="2"/>
    </row>
    <row r="5" spans="1:6">
      <c r="A5" s="25" t="s">
        <v>59</v>
      </c>
      <c r="B5" s="2">
        <v>4</v>
      </c>
      <c r="C5" s="2"/>
      <c r="D5" s="2"/>
    </row>
    <row r="6" spans="1:6">
      <c r="A6" s="25" t="s">
        <v>60</v>
      </c>
      <c r="B6" s="2">
        <v>4</v>
      </c>
      <c r="C6" s="2"/>
      <c r="D6" s="2"/>
    </row>
    <row r="7" spans="1:6">
      <c r="A7" s="25" t="s">
        <v>61</v>
      </c>
      <c r="B7" s="2">
        <v>64</v>
      </c>
      <c r="C7" s="2"/>
      <c r="D7" s="2"/>
      <c r="F7" s="73"/>
    </row>
    <row r="8" spans="1:6">
      <c r="A8" s="25" t="s">
        <v>72</v>
      </c>
      <c r="B8" s="2">
        <v>2552.6999999999998</v>
      </c>
      <c r="C8" s="2"/>
      <c r="D8" s="2"/>
    </row>
    <row r="9" spans="1:6">
      <c r="A9" s="25" t="s">
        <v>62</v>
      </c>
      <c r="B9" s="2">
        <v>187.7</v>
      </c>
      <c r="C9" s="2"/>
      <c r="D9" s="2"/>
    </row>
    <row r="10" spans="1:6">
      <c r="A10" s="25" t="s">
        <v>73</v>
      </c>
      <c r="B10" s="46" t="s">
        <v>100</v>
      </c>
      <c r="C10" s="2"/>
      <c r="D10" s="2"/>
    </row>
    <row r="11" spans="1:6" ht="36.75">
      <c r="A11" s="67" t="s">
        <v>1</v>
      </c>
      <c r="B11" s="67" t="s">
        <v>2</v>
      </c>
      <c r="C11" s="67" t="s">
        <v>3</v>
      </c>
      <c r="D11" s="67" t="s">
        <v>4</v>
      </c>
    </row>
    <row r="12" spans="1:6">
      <c r="A12" s="157" t="s">
        <v>5</v>
      </c>
      <c r="B12" s="158"/>
      <c r="C12" s="158"/>
      <c r="D12" s="159"/>
    </row>
    <row r="13" spans="1:6" ht="88.5" customHeight="1">
      <c r="A13" s="104" t="s">
        <v>6</v>
      </c>
      <c r="B13" s="160" t="s">
        <v>8</v>
      </c>
      <c r="C13" s="153">
        <v>1.69</v>
      </c>
      <c r="D13" s="163">
        <f>C13*12*B8</f>
        <v>51768.756000000001</v>
      </c>
    </row>
    <row r="14" spans="1:6" ht="75.75" customHeight="1">
      <c r="A14" s="103" t="s">
        <v>89</v>
      </c>
      <c r="B14" s="161"/>
      <c r="C14" s="162"/>
      <c r="D14" s="164"/>
    </row>
    <row r="15" spans="1:6">
      <c r="A15" s="6" t="s">
        <v>9</v>
      </c>
      <c r="B15" s="67"/>
      <c r="C15" s="26"/>
      <c r="D15" s="30"/>
    </row>
    <row r="16" spans="1:6">
      <c r="A16" s="6" t="s">
        <v>226</v>
      </c>
      <c r="B16" s="130" t="s">
        <v>88</v>
      </c>
      <c r="C16" s="44">
        <v>0.24</v>
      </c>
      <c r="D16" s="30">
        <f>C16*12*B8</f>
        <v>7351.7759999999989</v>
      </c>
    </row>
    <row r="17" spans="1:4">
      <c r="A17" s="165" t="s">
        <v>10</v>
      </c>
      <c r="B17" s="165"/>
      <c r="C17" s="165"/>
      <c r="D17" s="165"/>
    </row>
    <row r="18" spans="1:4" ht="13.5" customHeight="1">
      <c r="A18" s="39" t="s">
        <v>97</v>
      </c>
      <c r="B18" s="68"/>
      <c r="C18" s="68"/>
      <c r="D18" s="68"/>
    </row>
    <row r="19" spans="1:4" ht="13.5" customHeight="1">
      <c r="A19" s="6" t="s">
        <v>11</v>
      </c>
      <c r="B19" s="67" t="s">
        <v>75</v>
      </c>
      <c r="C19" s="152">
        <v>2.16</v>
      </c>
      <c r="D19" s="166">
        <f>C19*B8*12</f>
        <v>66165.983999999997</v>
      </c>
    </row>
    <row r="20" spans="1:4" ht="12.75" customHeight="1">
      <c r="A20" s="6" t="s">
        <v>12</v>
      </c>
      <c r="B20" s="67" t="s">
        <v>75</v>
      </c>
      <c r="C20" s="152"/>
      <c r="D20" s="155"/>
    </row>
    <row r="21" spans="1:4" ht="14.25" customHeight="1">
      <c r="A21" s="6" t="s">
        <v>13</v>
      </c>
      <c r="B21" s="67" t="s">
        <v>75</v>
      </c>
      <c r="C21" s="152"/>
      <c r="D21" s="155"/>
    </row>
    <row r="22" spans="1:4" ht="13.5" customHeight="1">
      <c r="A22" s="6" t="s">
        <v>14</v>
      </c>
      <c r="B22" s="67" t="s">
        <v>76</v>
      </c>
      <c r="C22" s="152"/>
      <c r="D22" s="155"/>
    </row>
    <row r="23" spans="1:4" ht="12.75" customHeight="1">
      <c r="A23" s="39" t="s">
        <v>93</v>
      </c>
      <c r="B23" s="67"/>
      <c r="C23" s="152"/>
      <c r="D23" s="155"/>
    </row>
    <row r="24" spans="1:4" ht="30" customHeight="1">
      <c r="A24" s="6" t="s">
        <v>15</v>
      </c>
      <c r="B24" s="67" t="s">
        <v>94</v>
      </c>
      <c r="C24" s="152"/>
      <c r="D24" s="156"/>
    </row>
    <row r="25" spans="1:4" ht="12.75" customHeight="1">
      <c r="A25" s="157" t="s">
        <v>16</v>
      </c>
      <c r="B25" s="158"/>
      <c r="C25" s="158"/>
      <c r="D25" s="159"/>
    </row>
    <row r="26" spans="1:4" ht="12" customHeight="1">
      <c r="A26" s="7" t="s">
        <v>17</v>
      </c>
      <c r="B26" s="21" t="s">
        <v>78</v>
      </c>
      <c r="C26" s="152">
        <v>0.2</v>
      </c>
      <c r="D26" s="167">
        <f>C26*B8*12</f>
        <v>6126.48</v>
      </c>
    </row>
    <row r="27" spans="1:4" ht="12" customHeight="1">
      <c r="A27" s="7" t="s">
        <v>18</v>
      </c>
      <c r="B27" s="21" t="s">
        <v>77</v>
      </c>
      <c r="C27" s="152"/>
      <c r="D27" s="167"/>
    </row>
    <row r="28" spans="1:4" ht="13.5" customHeight="1">
      <c r="A28" s="157" t="s">
        <v>19</v>
      </c>
      <c r="B28" s="158"/>
      <c r="C28" s="158"/>
      <c r="D28" s="159"/>
    </row>
    <row r="29" spans="1:4">
      <c r="A29" s="167" t="s">
        <v>20</v>
      </c>
      <c r="B29" s="167"/>
      <c r="C29" s="167"/>
      <c r="D29" s="167"/>
    </row>
    <row r="30" spans="1:4" ht="37.5" customHeight="1">
      <c r="A30" s="8" t="s">
        <v>21</v>
      </c>
      <c r="B30" s="22" t="s">
        <v>79</v>
      </c>
      <c r="C30" s="152">
        <v>0.66</v>
      </c>
      <c r="D30" s="154">
        <f>C30*B8*12</f>
        <v>20217.383999999998</v>
      </c>
    </row>
    <row r="31" spans="1:4" ht="15" customHeight="1">
      <c r="A31" s="9" t="s">
        <v>23</v>
      </c>
      <c r="B31" s="23" t="s">
        <v>80</v>
      </c>
      <c r="C31" s="152"/>
      <c r="D31" s="155"/>
    </row>
    <row r="32" spans="1:4" ht="13.5" customHeight="1">
      <c r="A32" s="9" t="s">
        <v>25</v>
      </c>
      <c r="B32" s="23" t="s">
        <v>80</v>
      </c>
      <c r="C32" s="152"/>
      <c r="D32" s="155"/>
    </row>
    <row r="33" spans="1:4" ht="36" customHeight="1">
      <c r="A33" s="9" t="s">
        <v>26</v>
      </c>
      <c r="B33" s="22" t="s">
        <v>22</v>
      </c>
      <c r="C33" s="152"/>
      <c r="D33" s="155"/>
    </row>
    <row r="34" spans="1:4" ht="14.25" customHeight="1">
      <c r="A34" s="9" t="s">
        <v>27</v>
      </c>
      <c r="B34" s="22" t="s">
        <v>88</v>
      </c>
      <c r="C34" s="152"/>
      <c r="D34" s="155"/>
    </row>
    <row r="35" spans="1:4" ht="33.75" customHeight="1">
      <c r="A35" s="24" t="s">
        <v>28</v>
      </c>
      <c r="B35" s="22" t="s">
        <v>22</v>
      </c>
      <c r="C35" s="153"/>
      <c r="D35" s="156"/>
    </row>
    <row r="36" spans="1:4" ht="11.25" customHeight="1">
      <c r="A36" s="169" t="s">
        <v>29</v>
      </c>
      <c r="B36" s="169"/>
      <c r="C36" s="169"/>
      <c r="D36" s="169"/>
    </row>
    <row r="37" spans="1:4" ht="35.25" customHeight="1">
      <c r="A37" s="9" t="s">
        <v>30</v>
      </c>
      <c r="B37" s="22" t="s">
        <v>22</v>
      </c>
      <c r="C37" s="154">
        <v>0.76</v>
      </c>
      <c r="D37" s="152">
        <f>C37*12*B8</f>
        <v>23280.624</v>
      </c>
    </row>
    <row r="38" spans="1:4" ht="38.25" customHeight="1">
      <c r="A38" s="9" t="s">
        <v>31</v>
      </c>
      <c r="B38" s="22" t="s">
        <v>22</v>
      </c>
      <c r="C38" s="154"/>
      <c r="D38" s="152"/>
    </row>
    <row r="39" spans="1:4" ht="15" customHeight="1">
      <c r="A39" s="10" t="s">
        <v>32</v>
      </c>
      <c r="B39" s="22" t="s">
        <v>22</v>
      </c>
      <c r="C39" s="154"/>
      <c r="D39" s="152"/>
    </row>
    <row r="40" spans="1:4" ht="12.75" customHeight="1">
      <c r="A40" s="167" t="s">
        <v>33</v>
      </c>
      <c r="B40" s="167"/>
      <c r="C40" s="167"/>
      <c r="D40" s="167"/>
    </row>
    <row r="41" spans="1:4" ht="29.25" customHeight="1">
      <c r="A41" s="9" t="s">
        <v>34</v>
      </c>
      <c r="B41" s="22" t="s">
        <v>77</v>
      </c>
      <c r="C41" s="154">
        <v>3.09</v>
      </c>
      <c r="D41" s="154">
        <f>C41*12*B8</f>
        <v>94654.115999999995</v>
      </c>
    </row>
    <row r="42" spans="1:4" ht="14.25" customHeight="1">
      <c r="A42" s="9" t="s">
        <v>35</v>
      </c>
      <c r="B42" s="22" t="s">
        <v>81</v>
      </c>
      <c r="C42" s="154"/>
      <c r="D42" s="154"/>
    </row>
    <row r="43" spans="1:4" ht="17.25" customHeight="1">
      <c r="A43" s="9" t="s">
        <v>36</v>
      </c>
      <c r="B43" s="22" t="s">
        <v>81</v>
      </c>
      <c r="C43" s="154"/>
      <c r="D43" s="154"/>
    </row>
    <row r="44" spans="1:4" ht="24.75" customHeight="1">
      <c r="A44" s="9" t="s">
        <v>37</v>
      </c>
      <c r="B44" s="22" t="s">
        <v>82</v>
      </c>
      <c r="C44" s="154"/>
      <c r="D44" s="154"/>
    </row>
    <row r="45" spans="1:4" ht="30" customHeight="1">
      <c r="A45" s="9" t="s">
        <v>38</v>
      </c>
      <c r="B45" s="22" t="s">
        <v>82</v>
      </c>
      <c r="C45" s="154"/>
      <c r="D45" s="154"/>
    </row>
    <row r="46" spans="1:4" ht="12.75" customHeight="1">
      <c r="A46" s="68" t="s">
        <v>95</v>
      </c>
      <c r="B46" s="6"/>
      <c r="C46" s="154"/>
      <c r="D46" s="154"/>
    </row>
    <row r="47" spans="1:4" ht="35.25" customHeight="1">
      <c r="A47" s="9" t="s">
        <v>40</v>
      </c>
      <c r="B47" s="22" t="s">
        <v>79</v>
      </c>
      <c r="C47" s="154"/>
      <c r="D47" s="154"/>
    </row>
    <row r="48" spans="1:4" ht="14.25" customHeight="1">
      <c r="A48" s="9" t="s">
        <v>41</v>
      </c>
      <c r="B48" s="22" t="s">
        <v>24</v>
      </c>
      <c r="C48" s="154"/>
      <c r="D48" s="154"/>
    </row>
    <row r="49" spans="1:4" ht="14.25" customHeight="1">
      <c r="A49" s="9" t="s">
        <v>42</v>
      </c>
      <c r="B49" s="23" t="s">
        <v>24</v>
      </c>
      <c r="C49" s="154"/>
      <c r="D49" s="154"/>
    </row>
    <row r="50" spans="1:4" ht="13.5" customHeight="1">
      <c r="A50" s="9" t="s">
        <v>43</v>
      </c>
      <c r="B50" s="23" t="s">
        <v>24</v>
      </c>
      <c r="C50" s="154"/>
      <c r="D50" s="154"/>
    </row>
    <row r="51" spans="1:4" ht="13.5" customHeight="1">
      <c r="A51" s="9" t="s">
        <v>44</v>
      </c>
      <c r="B51" s="21" t="s">
        <v>161</v>
      </c>
      <c r="C51" s="154"/>
      <c r="D51" s="154"/>
    </row>
    <row r="52" spans="1:4" ht="36.75" customHeight="1">
      <c r="A52" s="10" t="s">
        <v>45</v>
      </c>
      <c r="B52" s="22" t="s">
        <v>22</v>
      </c>
      <c r="C52" s="154"/>
      <c r="D52" s="154"/>
    </row>
    <row r="53" spans="1:4">
      <c r="A53" s="167" t="s">
        <v>46</v>
      </c>
      <c r="B53" s="167"/>
      <c r="C53" s="167"/>
      <c r="D53" s="167"/>
    </row>
    <row r="54" spans="1:4" ht="15.75" customHeight="1">
      <c r="A54" s="9" t="s">
        <v>47</v>
      </c>
      <c r="B54" s="22" t="s">
        <v>83</v>
      </c>
      <c r="C54" s="152">
        <v>1.79</v>
      </c>
      <c r="D54" s="154">
        <f>C54*B8*12+0.58</f>
        <v>54832.576000000001</v>
      </c>
    </row>
    <row r="55" spans="1:4" ht="12.75" customHeight="1">
      <c r="A55" s="9" t="s">
        <v>48</v>
      </c>
      <c r="B55" s="22" t="s">
        <v>83</v>
      </c>
      <c r="C55" s="152"/>
      <c r="D55" s="154"/>
    </row>
    <row r="56" spans="1:4" ht="23.25" customHeight="1">
      <c r="A56" s="9" t="s">
        <v>49</v>
      </c>
      <c r="B56" s="22" t="s">
        <v>83</v>
      </c>
      <c r="C56" s="152"/>
      <c r="D56" s="154"/>
    </row>
    <row r="57" spans="1:4" ht="16.5" customHeight="1">
      <c r="A57" s="9" t="s">
        <v>50</v>
      </c>
      <c r="B57" s="22" t="s">
        <v>83</v>
      </c>
      <c r="C57" s="152"/>
      <c r="D57" s="154"/>
    </row>
    <row r="58" spans="1:4" ht="39.75" customHeight="1">
      <c r="A58" s="10" t="s">
        <v>51</v>
      </c>
      <c r="B58" s="22" t="s">
        <v>22</v>
      </c>
      <c r="C58" s="152"/>
      <c r="D58" s="154"/>
    </row>
    <row r="59" spans="1:4" ht="16.5" customHeight="1">
      <c r="A59" s="10" t="s">
        <v>52</v>
      </c>
      <c r="B59" s="23" t="s">
        <v>84</v>
      </c>
      <c r="C59" s="152"/>
      <c r="D59" s="154"/>
    </row>
    <row r="60" spans="1:4">
      <c r="A60" s="157" t="s">
        <v>85</v>
      </c>
      <c r="B60" s="158"/>
      <c r="C60" s="158"/>
      <c r="D60" s="159"/>
    </row>
    <row r="61" spans="1:4" ht="26.25" customHeight="1">
      <c r="A61" s="175" t="s">
        <v>96</v>
      </c>
      <c r="B61" s="177" t="s">
        <v>86</v>
      </c>
      <c r="C61" s="152">
        <v>2.41</v>
      </c>
      <c r="D61" s="154">
        <f>C61*B8*12</f>
        <v>73824.084000000003</v>
      </c>
    </row>
    <row r="62" spans="1:4" ht="13.5" customHeight="1">
      <c r="A62" s="176"/>
      <c r="B62" s="177"/>
      <c r="C62" s="152"/>
      <c r="D62" s="154"/>
    </row>
    <row r="63" spans="1:4" ht="15" customHeight="1">
      <c r="A63" s="157" t="s">
        <v>55</v>
      </c>
      <c r="B63" s="158"/>
      <c r="C63" s="158"/>
      <c r="D63" s="159"/>
    </row>
    <row r="64" spans="1:4" ht="16.5" customHeight="1">
      <c r="A64" s="6" t="s">
        <v>90</v>
      </c>
      <c r="B64" s="21" t="s">
        <v>87</v>
      </c>
      <c r="C64" s="170">
        <v>2.14</v>
      </c>
      <c r="D64" s="172">
        <f>C64*12*B8</f>
        <v>65553.335999999996</v>
      </c>
    </row>
    <row r="65" spans="1:4">
      <c r="A65" s="6" t="s">
        <v>91</v>
      </c>
      <c r="B65" s="21" t="s">
        <v>87</v>
      </c>
      <c r="C65" s="171"/>
      <c r="D65" s="173"/>
    </row>
    <row r="66" spans="1:4" ht="15" customHeight="1">
      <c r="A66" s="6" t="s">
        <v>92</v>
      </c>
      <c r="B66" s="21" t="s">
        <v>87</v>
      </c>
      <c r="C66" s="169"/>
      <c r="D66" s="174"/>
    </row>
    <row r="67" spans="1:4" ht="38.25" customHeight="1">
      <c r="A67" s="6" t="s">
        <v>143</v>
      </c>
      <c r="B67" s="22" t="s">
        <v>22</v>
      </c>
      <c r="C67" s="66">
        <v>4.22</v>
      </c>
      <c r="D67" s="66">
        <f>C67*12*B8</f>
        <v>129268.72799999999</v>
      </c>
    </row>
    <row r="68" spans="1:4">
      <c r="A68" s="68" t="s">
        <v>56</v>
      </c>
      <c r="B68" s="23"/>
      <c r="C68" s="28">
        <f>C67+C64+C61+C54+C41+C37+C30+C26+C19+C16+C13</f>
        <v>19.36</v>
      </c>
      <c r="D68" s="28">
        <f>D67+D64+D61+D54+D41+D37+D30+D26+D19+D16+D13</f>
        <v>593043.84399999992</v>
      </c>
    </row>
    <row r="70" spans="1:4">
      <c r="D70" s="40"/>
    </row>
    <row r="71" spans="1:4">
      <c r="D71" s="40"/>
    </row>
    <row r="72" spans="1:4">
      <c r="D72" s="40"/>
    </row>
    <row r="73" spans="1:4">
      <c r="D73" s="40"/>
    </row>
  </sheetData>
  <mergeCells count="31">
    <mergeCell ref="A36:D36"/>
    <mergeCell ref="B13:B14"/>
    <mergeCell ref="C13:C14"/>
    <mergeCell ref="D13:D14"/>
    <mergeCell ref="C26:C27"/>
    <mergeCell ref="D26:D27"/>
    <mergeCell ref="A28:D28"/>
    <mergeCell ref="A29:D29"/>
    <mergeCell ref="C30:C35"/>
    <mergeCell ref="D30:D35"/>
    <mergeCell ref="A12:D12"/>
    <mergeCell ref="A17:D17"/>
    <mergeCell ref="C19:C24"/>
    <mergeCell ref="D19:D24"/>
    <mergeCell ref="A25:D25"/>
    <mergeCell ref="C54:C59"/>
    <mergeCell ref="D54:D59"/>
    <mergeCell ref="C64:C66"/>
    <mergeCell ref="D64:D66"/>
    <mergeCell ref="A60:D60"/>
    <mergeCell ref="A61:A62"/>
    <mergeCell ref="B61:B62"/>
    <mergeCell ref="C61:C62"/>
    <mergeCell ref="D61:D62"/>
    <mergeCell ref="A63:D63"/>
    <mergeCell ref="C37:C39"/>
    <mergeCell ref="A40:D40"/>
    <mergeCell ref="C41:C52"/>
    <mergeCell ref="D41:D52"/>
    <mergeCell ref="A53:D53"/>
    <mergeCell ref="D37:D39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E75"/>
  <sheetViews>
    <sheetView workbookViewId="0">
      <selection activeCell="D76" sqref="D76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5">
      <c r="A1" s="1" t="s">
        <v>0</v>
      </c>
      <c r="B1" s="2"/>
      <c r="C1" s="2"/>
      <c r="D1" s="2" t="s">
        <v>64</v>
      </c>
    </row>
    <row r="2" spans="1:5">
      <c r="A2" s="1" t="s">
        <v>157</v>
      </c>
      <c r="B2" s="2"/>
      <c r="C2" s="2"/>
      <c r="D2" s="2"/>
    </row>
    <row r="3" spans="1:5">
      <c r="A3" s="1" t="s">
        <v>285</v>
      </c>
      <c r="B3" s="2"/>
      <c r="C3" s="2"/>
      <c r="D3" s="2"/>
    </row>
    <row r="4" spans="1:5">
      <c r="A4" s="25" t="s">
        <v>58</v>
      </c>
      <c r="B4" s="2">
        <v>1971</v>
      </c>
      <c r="C4" s="2"/>
      <c r="D4" s="2"/>
    </row>
    <row r="5" spans="1:5">
      <c r="A5" s="25" t="s">
        <v>59</v>
      </c>
      <c r="B5" s="2">
        <v>2</v>
      </c>
      <c r="C5" s="2"/>
      <c r="D5" s="2"/>
    </row>
    <row r="6" spans="1:5">
      <c r="A6" s="25" t="s">
        <v>60</v>
      </c>
      <c r="B6" s="2">
        <v>1</v>
      </c>
      <c r="C6" s="2"/>
      <c r="D6" s="2"/>
    </row>
    <row r="7" spans="1:5">
      <c r="A7" s="25" t="s">
        <v>61</v>
      </c>
      <c r="B7" s="2">
        <v>10</v>
      </c>
      <c r="C7" s="2"/>
      <c r="D7" s="2"/>
    </row>
    <row r="8" spans="1:5">
      <c r="A8" s="25" t="s">
        <v>72</v>
      </c>
      <c r="B8" s="2">
        <v>777.3</v>
      </c>
      <c r="C8" s="2"/>
      <c r="D8" s="2"/>
    </row>
    <row r="9" spans="1:5">
      <c r="A9" s="25" t="s">
        <v>62</v>
      </c>
      <c r="B9" s="2">
        <v>67.599999999999994</v>
      </c>
      <c r="C9" s="2"/>
      <c r="D9" s="2"/>
    </row>
    <row r="10" spans="1:5">
      <c r="A10" s="25" t="s">
        <v>73</v>
      </c>
      <c r="B10" s="41" t="s">
        <v>100</v>
      </c>
      <c r="C10" s="2"/>
      <c r="D10" s="2"/>
    </row>
    <row r="11" spans="1:5" ht="36.75">
      <c r="A11" s="67" t="s">
        <v>1</v>
      </c>
      <c r="B11" s="67" t="s">
        <v>2</v>
      </c>
      <c r="C11" s="67" t="s">
        <v>3</v>
      </c>
      <c r="D11" s="67" t="s">
        <v>4</v>
      </c>
    </row>
    <row r="12" spans="1:5">
      <c r="A12" s="178" t="s">
        <v>5</v>
      </c>
      <c r="B12" s="158"/>
      <c r="C12" s="158"/>
      <c r="D12" s="159"/>
    </row>
    <row r="13" spans="1:5" ht="88.5" customHeight="1">
      <c r="A13" s="104" t="s">
        <v>6</v>
      </c>
      <c r="B13" s="160" t="s">
        <v>8</v>
      </c>
      <c r="C13" s="153">
        <v>1.04</v>
      </c>
      <c r="D13" s="163">
        <f>C13*12*B8</f>
        <v>9700.7039999999997</v>
      </c>
    </row>
    <row r="14" spans="1:5" ht="75.75" customHeight="1">
      <c r="A14" s="103" t="s">
        <v>89</v>
      </c>
      <c r="B14" s="161"/>
      <c r="C14" s="162"/>
      <c r="D14" s="164"/>
      <c r="E14" s="116"/>
    </row>
    <row r="15" spans="1:5">
      <c r="A15" s="103" t="s">
        <v>9</v>
      </c>
      <c r="B15" s="67"/>
      <c r="C15" s="26"/>
      <c r="D15" s="30"/>
    </row>
    <row r="16" spans="1:5">
      <c r="A16" s="6" t="s">
        <v>286</v>
      </c>
      <c r="B16" s="67" t="s">
        <v>105</v>
      </c>
      <c r="C16" s="44">
        <f>D16/12/B8</f>
        <v>1.5277241734208158</v>
      </c>
      <c r="D16" s="30">
        <v>14250</v>
      </c>
    </row>
    <row r="17" spans="1:4">
      <c r="A17" s="6" t="s">
        <v>287</v>
      </c>
      <c r="B17" s="117" t="s">
        <v>80</v>
      </c>
      <c r="C17" s="44">
        <f>D17/12/B8</f>
        <v>0.48243921265920497</v>
      </c>
      <c r="D17" s="30">
        <v>4500</v>
      </c>
    </row>
    <row r="18" spans="1:4">
      <c r="A18" s="165" t="s">
        <v>10</v>
      </c>
      <c r="B18" s="165"/>
      <c r="C18" s="165"/>
      <c r="D18" s="165"/>
    </row>
    <row r="19" spans="1:4" ht="13.5" customHeight="1">
      <c r="A19" s="39" t="s">
        <v>97</v>
      </c>
      <c r="B19" s="68"/>
      <c r="C19" s="68"/>
      <c r="D19" s="68"/>
    </row>
    <row r="20" spans="1:4" ht="13.5" customHeight="1">
      <c r="A20" s="6" t="s">
        <v>11</v>
      </c>
      <c r="B20" s="67" t="s">
        <v>75</v>
      </c>
      <c r="C20" s="152">
        <v>2.16</v>
      </c>
      <c r="D20" s="166">
        <f>C20*B8*12</f>
        <v>20147.616000000002</v>
      </c>
    </row>
    <row r="21" spans="1:4" ht="12.75" customHeight="1">
      <c r="A21" s="6" t="s">
        <v>12</v>
      </c>
      <c r="B21" s="67" t="s">
        <v>75</v>
      </c>
      <c r="C21" s="152"/>
      <c r="D21" s="155"/>
    </row>
    <row r="22" spans="1:4" ht="14.25" customHeight="1">
      <c r="A22" s="6" t="s">
        <v>13</v>
      </c>
      <c r="B22" s="67" t="s">
        <v>75</v>
      </c>
      <c r="C22" s="152"/>
      <c r="D22" s="155"/>
    </row>
    <row r="23" spans="1:4" ht="13.5" customHeight="1">
      <c r="A23" s="6" t="s">
        <v>14</v>
      </c>
      <c r="B23" s="67" t="s">
        <v>76</v>
      </c>
      <c r="C23" s="152"/>
      <c r="D23" s="155"/>
    </row>
    <row r="24" spans="1:4" ht="12.75" customHeight="1">
      <c r="A24" s="39" t="s">
        <v>93</v>
      </c>
      <c r="B24" s="67"/>
      <c r="C24" s="152"/>
      <c r="D24" s="155"/>
    </row>
    <row r="25" spans="1:4" ht="30" customHeight="1">
      <c r="A25" s="6" t="s">
        <v>15</v>
      </c>
      <c r="B25" s="67" t="s">
        <v>94</v>
      </c>
      <c r="C25" s="152"/>
      <c r="D25" s="156"/>
    </row>
    <row r="26" spans="1:4" ht="12.75" customHeight="1">
      <c r="A26" s="157" t="s">
        <v>16</v>
      </c>
      <c r="B26" s="158"/>
      <c r="C26" s="158"/>
      <c r="D26" s="159"/>
    </row>
    <row r="27" spans="1:4" ht="12" customHeight="1">
      <c r="A27" s="7" t="s">
        <v>17</v>
      </c>
      <c r="B27" s="21" t="s">
        <v>78</v>
      </c>
      <c r="C27" s="152">
        <v>0.2</v>
      </c>
      <c r="D27" s="167">
        <f>C27*B8*12</f>
        <v>1865.52</v>
      </c>
    </row>
    <row r="28" spans="1:4" ht="12" customHeight="1">
      <c r="A28" s="7" t="s">
        <v>18</v>
      </c>
      <c r="B28" s="21" t="s">
        <v>77</v>
      </c>
      <c r="C28" s="152"/>
      <c r="D28" s="167"/>
    </row>
    <row r="29" spans="1:4" ht="13.5" customHeight="1">
      <c r="A29" s="157" t="s">
        <v>19</v>
      </c>
      <c r="B29" s="158"/>
      <c r="C29" s="158"/>
      <c r="D29" s="159"/>
    </row>
    <row r="30" spans="1:4">
      <c r="A30" s="167" t="s">
        <v>20</v>
      </c>
      <c r="B30" s="167"/>
      <c r="C30" s="167"/>
      <c r="D30" s="167"/>
    </row>
    <row r="31" spans="1:4" ht="37.5" customHeight="1">
      <c r="A31" s="8" t="s">
        <v>21</v>
      </c>
      <c r="B31" s="22" t="s">
        <v>79</v>
      </c>
      <c r="C31" s="152">
        <v>0.38</v>
      </c>
      <c r="D31" s="154">
        <f>C31*B8*12</f>
        <v>3544.4879999999994</v>
      </c>
    </row>
    <row r="32" spans="1:4" ht="15" customHeight="1">
      <c r="A32" s="9" t="s">
        <v>23</v>
      </c>
      <c r="B32" s="23" t="s">
        <v>80</v>
      </c>
      <c r="C32" s="152"/>
      <c r="D32" s="155"/>
    </row>
    <row r="33" spans="1:4" ht="13.5" customHeight="1">
      <c r="A33" s="9" t="s">
        <v>25</v>
      </c>
      <c r="B33" s="23" t="s">
        <v>80</v>
      </c>
      <c r="C33" s="152"/>
      <c r="D33" s="155"/>
    </row>
    <row r="34" spans="1:4" ht="36" customHeight="1">
      <c r="A34" s="9" t="s">
        <v>26</v>
      </c>
      <c r="B34" s="22" t="s">
        <v>22</v>
      </c>
      <c r="C34" s="152"/>
      <c r="D34" s="155"/>
    </row>
    <row r="35" spans="1:4" ht="14.25" customHeight="1">
      <c r="A35" s="9" t="s">
        <v>27</v>
      </c>
      <c r="B35" s="22" t="s">
        <v>24</v>
      </c>
      <c r="C35" s="152"/>
      <c r="D35" s="155"/>
    </row>
    <row r="36" spans="1:4" ht="33.75" customHeight="1">
      <c r="A36" s="24" t="s">
        <v>28</v>
      </c>
      <c r="B36" s="22" t="s">
        <v>22</v>
      </c>
      <c r="C36" s="153"/>
      <c r="D36" s="156"/>
    </row>
    <row r="37" spans="1:4" ht="11.25" customHeight="1">
      <c r="A37" s="169" t="s">
        <v>29</v>
      </c>
      <c r="B37" s="169"/>
      <c r="C37" s="169"/>
      <c r="D37" s="169"/>
    </row>
    <row r="38" spans="1:4" ht="35.25" customHeight="1">
      <c r="A38" s="9" t="s">
        <v>30</v>
      </c>
      <c r="B38" s="22" t="s">
        <v>22</v>
      </c>
      <c r="C38" s="154">
        <v>0.64</v>
      </c>
      <c r="D38" s="152">
        <f>C38*12*B8</f>
        <v>5969.6639999999998</v>
      </c>
    </row>
    <row r="39" spans="1:4" ht="38.25" customHeight="1">
      <c r="A39" s="9" t="s">
        <v>31</v>
      </c>
      <c r="B39" s="22" t="s">
        <v>22</v>
      </c>
      <c r="C39" s="154"/>
      <c r="D39" s="152"/>
    </row>
    <row r="40" spans="1:4" ht="15" customHeight="1">
      <c r="A40" s="10" t="s">
        <v>32</v>
      </c>
      <c r="B40" s="22" t="s">
        <v>22</v>
      </c>
      <c r="C40" s="154"/>
      <c r="D40" s="152"/>
    </row>
    <row r="41" spans="1:4" ht="12.75" customHeight="1">
      <c r="A41" s="167" t="s">
        <v>33</v>
      </c>
      <c r="B41" s="167"/>
      <c r="C41" s="167"/>
      <c r="D41" s="167"/>
    </row>
    <row r="42" spans="1:4" ht="29.25" customHeight="1">
      <c r="A42" s="9" t="s">
        <v>34</v>
      </c>
      <c r="B42" s="22" t="s">
        <v>77</v>
      </c>
      <c r="C42" s="154">
        <v>2.54</v>
      </c>
      <c r="D42" s="154">
        <f>C42*12*B8</f>
        <v>23692.103999999999</v>
      </c>
    </row>
    <row r="43" spans="1:4" ht="14.25" customHeight="1">
      <c r="A43" s="9" t="s">
        <v>35</v>
      </c>
      <c r="B43" s="22" t="s">
        <v>81</v>
      </c>
      <c r="C43" s="154"/>
      <c r="D43" s="154"/>
    </row>
    <row r="44" spans="1:4" ht="17.25" customHeight="1">
      <c r="A44" s="9" t="s">
        <v>36</v>
      </c>
      <c r="B44" s="22" t="s">
        <v>81</v>
      </c>
      <c r="C44" s="154"/>
      <c r="D44" s="154"/>
    </row>
    <row r="45" spans="1:4" ht="24.75" customHeight="1">
      <c r="A45" s="9" t="s">
        <v>37</v>
      </c>
      <c r="B45" s="22" t="s">
        <v>82</v>
      </c>
      <c r="C45" s="154"/>
      <c r="D45" s="154"/>
    </row>
    <row r="46" spans="1:4" ht="30" customHeight="1">
      <c r="A46" s="9" t="s">
        <v>38</v>
      </c>
      <c r="B46" s="22" t="s">
        <v>82</v>
      </c>
      <c r="C46" s="154"/>
      <c r="D46" s="154"/>
    </row>
    <row r="47" spans="1:4" ht="12.75" customHeight="1">
      <c r="A47" s="68" t="s">
        <v>95</v>
      </c>
      <c r="B47" s="6"/>
      <c r="C47" s="154"/>
      <c r="D47" s="154"/>
    </row>
    <row r="48" spans="1:4" ht="35.25" customHeight="1">
      <c r="A48" s="9" t="s">
        <v>40</v>
      </c>
      <c r="B48" s="22" t="s">
        <v>79</v>
      </c>
      <c r="C48" s="154"/>
      <c r="D48" s="154"/>
    </row>
    <row r="49" spans="1:4" ht="14.25" customHeight="1">
      <c r="A49" s="9" t="s">
        <v>41</v>
      </c>
      <c r="B49" s="22" t="s">
        <v>80</v>
      </c>
      <c r="C49" s="154"/>
      <c r="D49" s="154"/>
    </row>
    <row r="50" spans="1:4" ht="14.25" customHeight="1">
      <c r="A50" s="9" t="s">
        <v>42</v>
      </c>
      <c r="B50" s="23" t="s">
        <v>80</v>
      </c>
      <c r="C50" s="154"/>
      <c r="D50" s="154"/>
    </row>
    <row r="51" spans="1:4" ht="13.5" customHeight="1">
      <c r="A51" s="9" t="s">
        <v>43</v>
      </c>
      <c r="B51" s="23" t="s">
        <v>80</v>
      </c>
      <c r="C51" s="154"/>
      <c r="D51" s="154"/>
    </row>
    <row r="52" spans="1:4" ht="13.5" customHeight="1">
      <c r="A52" s="9" t="s">
        <v>44</v>
      </c>
      <c r="B52" s="21" t="s">
        <v>159</v>
      </c>
      <c r="C52" s="154"/>
      <c r="D52" s="154"/>
    </row>
    <row r="53" spans="1:4" ht="36.75" customHeight="1">
      <c r="A53" s="10" t="s">
        <v>45</v>
      </c>
      <c r="B53" s="22" t="s">
        <v>22</v>
      </c>
      <c r="C53" s="154"/>
      <c r="D53" s="154"/>
    </row>
    <row r="54" spans="1:4">
      <c r="A54" s="167" t="s">
        <v>46</v>
      </c>
      <c r="B54" s="167"/>
      <c r="C54" s="167"/>
      <c r="D54" s="167"/>
    </row>
    <row r="55" spans="1:4" ht="15.75" customHeight="1">
      <c r="A55" s="9" t="s">
        <v>47</v>
      </c>
      <c r="B55" s="22" t="s">
        <v>83</v>
      </c>
      <c r="C55" s="152">
        <v>1.62</v>
      </c>
      <c r="D55" s="154">
        <f>C55*B8*12-5043.28</f>
        <v>10067.432000000001</v>
      </c>
    </row>
    <row r="56" spans="1:4" ht="12.75" customHeight="1">
      <c r="A56" s="9" t="s">
        <v>48</v>
      </c>
      <c r="B56" s="22" t="s">
        <v>83</v>
      </c>
      <c r="C56" s="152"/>
      <c r="D56" s="154"/>
    </row>
    <row r="57" spans="1:4" ht="24.75" customHeight="1">
      <c r="A57" s="9" t="s">
        <v>49</v>
      </c>
      <c r="B57" s="22" t="s">
        <v>83</v>
      </c>
      <c r="C57" s="152"/>
      <c r="D57" s="154"/>
    </row>
    <row r="58" spans="1:4" ht="16.5" customHeight="1">
      <c r="A58" s="9" t="s">
        <v>50</v>
      </c>
      <c r="B58" s="22" t="s">
        <v>83</v>
      </c>
      <c r="C58" s="152"/>
      <c r="D58" s="154"/>
    </row>
    <row r="59" spans="1:4" ht="39.75" customHeight="1">
      <c r="A59" s="10" t="s">
        <v>51</v>
      </c>
      <c r="B59" s="22" t="s">
        <v>22</v>
      </c>
      <c r="C59" s="152"/>
      <c r="D59" s="154"/>
    </row>
    <row r="60" spans="1:4" ht="16.5" customHeight="1">
      <c r="A60" s="10" t="s">
        <v>52</v>
      </c>
      <c r="B60" s="23" t="s">
        <v>84</v>
      </c>
      <c r="C60" s="152"/>
      <c r="D60" s="154"/>
    </row>
    <row r="61" spans="1:4">
      <c r="A61" s="157" t="s">
        <v>85</v>
      </c>
      <c r="B61" s="158"/>
      <c r="C61" s="158"/>
      <c r="D61" s="159"/>
    </row>
    <row r="62" spans="1:4" ht="26.25" customHeight="1">
      <c r="A62" s="175" t="s">
        <v>96</v>
      </c>
      <c r="B62" s="177" t="s">
        <v>86</v>
      </c>
      <c r="C62" s="152">
        <v>2.41</v>
      </c>
      <c r="D62" s="154">
        <f>C62*B8*12</f>
        <v>22479.516</v>
      </c>
    </row>
    <row r="63" spans="1:4" ht="13.5" customHeight="1">
      <c r="A63" s="176"/>
      <c r="B63" s="177"/>
      <c r="C63" s="152"/>
      <c r="D63" s="154"/>
    </row>
    <row r="64" spans="1:4" ht="15" customHeight="1">
      <c r="A64" s="157" t="s">
        <v>55</v>
      </c>
      <c r="B64" s="158"/>
      <c r="C64" s="158"/>
      <c r="D64" s="159"/>
    </row>
    <row r="65" spans="1:4" ht="16.5" customHeight="1">
      <c r="A65" s="6" t="s">
        <v>90</v>
      </c>
      <c r="B65" s="21" t="s">
        <v>87</v>
      </c>
      <c r="C65" s="170">
        <v>2.14</v>
      </c>
      <c r="D65" s="172">
        <f>1663.43+18297.73</f>
        <v>19961.16</v>
      </c>
    </row>
    <row r="66" spans="1:4">
      <c r="A66" s="6" t="s">
        <v>91</v>
      </c>
      <c r="B66" s="21" t="s">
        <v>87</v>
      </c>
      <c r="C66" s="171"/>
      <c r="D66" s="173"/>
    </row>
    <row r="67" spans="1:4" ht="15" customHeight="1">
      <c r="A67" s="6" t="s">
        <v>92</v>
      </c>
      <c r="B67" s="21" t="s">
        <v>87</v>
      </c>
      <c r="C67" s="169"/>
      <c r="D67" s="174"/>
    </row>
    <row r="68" spans="1:4" ht="38.25" customHeight="1">
      <c r="A68" s="6" t="s">
        <v>143</v>
      </c>
      <c r="B68" s="22" t="s">
        <v>22</v>
      </c>
      <c r="C68" s="66">
        <v>4.22</v>
      </c>
      <c r="D68" s="66">
        <f>C68*12*B8</f>
        <v>39362.472000000002</v>
      </c>
    </row>
    <row r="69" spans="1:4" ht="18" customHeight="1">
      <c r="A69" s="6" t="s">
        <v>158</v>
      </c>
      <c r="B69" s="22"/>
      <c r="C69" s="66"/>
      <c r="D69" s="66">
        <f>-13*91.4*12</f>
        <v>-14258.400000000001</v>
      </c>
    </row>
    <row r="70" spans="1:4">
      <c r="A70" s="68" t="s">
        <v>56</v>
      </c>
      <c r="B70" s="23"/>
      <c r="C70" s="28">
        <f>C68+C65+C62+C55+C42+C38+C31+C27+C20+C17+C16+C13</f>
        <v>19.360163386080021</v>
      </c>
      <c r="D70" s="28">
        <f>D68+D65+D62+D55+D42+D38+D31+D27+D20+D17+D16+D13+D69</f>
        <v>161282.27600000001</v>
      </c>
    </row>
    <row r="72" spans="1:4">
      <c r="D72" s="40"/>
    </row>
    <row r="73" spans="1:4">
      <c r="D73" s="40"/>
    </row>
    <row r="74" spans="1:4">
      <c r="D74" s="40"/>
    </row>
    <row r="75" spans="1:4">
      <c r="D75" s="40"/>
    </row>
  </sheetData>
  <mergeCells count="31">
    <mergeCell ref="A12:D12"/>
    <mergeCell ref="A18:D18"/>
    <mergeCell ref="C20:C25"/>
    <mergeCell ref="D20:D25"/>
    <mergeCell ref="C31:C36"/>
    <mergeCell ref="D31:D36"/>
    <mergeCell ref="B13:B14"/>
    <mergeCell ref="C13:C14"/>
    <mergeCell ref="D13:D14"/>
    <mergeCell ref="A37:D37"/>
    <mergeCell ref="A26:D26"/>
    <mergeCell ref="C27:C28"/>
    <mergeCell ref="D27:D28"/>
    <mergeCell ref="A29:D29"/>
    <mergeCell ref="A30:D30"/>
    <mergeCell ref="C38:C40"/>
    <mergeCell ref="D38:D40"/>
    <mergeCell ref="A41:D41"/>
    <mergeCell ref="C42:C53"/>
    <mergeCell ref="D42:D53"/>
    <mergeCell ref="A64:D64"/>
    <mergeCell ref="C65:C67"/>
    <mergeCell ref="D65:D67"/>
    <mergeCell ref="A54:D54"/>
    <mergeCell ref="C55:C60"/>
    <mergeCell ref="D55:D60"/>
    <mergeCell ref="A61:D61"/>
    <mergeCell ref="A62:A63"/>
    <mergeCell ref="B62:B63"/>
    <mergeCell ref="C62:C63"/>
    <mergeCell ref="D62:D6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73"/>
  <sheetViews>
    <sheetView workbookViewId="0">
      <selection activeCell="D73" sqref="D73"/>
    </sheetView>
  </sheetViews>
  <sheetFormatPr defaultRowHeight="15"/>
  <cols>
    <col min="1" max="1" width="90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155</v>
      </c>
      <c r="B2" s="2"/>
      <c r="C2" s="2"/>
      <c r="D2" s="2"/>
    </row>
    <row r="3" spans="1:4">
      <c r="A3" s="1" t="s">
        <v>285</v>
      </c>
      <c r="B3" s="2"/>
      <c r="C3" s="2"/>
      <c r="D3" s="2"/>
    </row>
    <row r="4" spans="1:4">
      <c r="A4" s="25" t="s">
        <v>58</v>
      </c>
      <c r="B4" s="2">
        <v>1963</v>
      </c>
      <c r="C4" s="2"/>
      <c r="D4" s="2"/>
    </row>
    <row r="5" spans="1:4">
      <c r="A5" s="25" t="s">
        <v>59</v>
      </c>
      <c r="B5" s="2">
        <v>4</v>
      </c>
      <c r="C5" s="2"/>
      <c r="D5" s="2"/>
    </row>
    <row r="6" spans="1:4">
      <c r="A6" s="25" t="s">
        <v>60</v>
      </c>
      <c r="B6" s="2">
        <v>2</v>
      </c>
      <c r="C6" s="2"/>
      <c r="D6" s="2"/>
    </row>
    <row r="7" spans="1:4">
      <c r="A7" s="25" t="s">
        <v>61</v>
      </c>
      <c r="B7" s="2">
        <v>30</v>
      </c>
      <c r="C7" s="2"/>
      <c r="D7" s="2"/>
    </row>
    <row r="8" spans="1:4">
      <c r="A8" s="25" t="s">
        <v>72</v>
      </c>
      <c r="B8" s="2">
        <v>1203</v>
      </c>
      <c r="C8" s="2"/>
      <c r="D8" s="2"/>
    </row>
    <row r="9" spans="1:4">
      <c r="A9" s="25" t="s">
        <v>62</v>
      </c>
      <c r="B9" s="2">
        <v>95.5</v>
      </c>
      <c r="C9" s="2"/>
      <c r="D9" s="2"/>
    </row>
    <row r="10" spans="1:4">
      <c r="A10" s="25" t="s">
        <v>73</v>
      </c>
      <c r="B10" s="41" t="s">
        <v>100</v>
      </c>
      <c r="C10" s="2"/>
      <c r="D10" s="2"/>
    </row>
    <row r="11" spans="1:4" ht="36.75">
      <c r="A11" s="67" t="s">
        <v>1</v>
      </c>
      <c r="B11" s="67" t="s">
        <v>2</v>
      </c>
      <c r="C11" s="67" t="s">
        <v>3</v>
      </c>
      <c r="D11" s="67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1.69</v>
      </c>
      <c r="D13" s="163">
        <f>C13*12*B8</f>
        <v>24396.84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191" t="s">
        <v>10</v>
      </c>
      <c r="B15" s="192"/>
      <c r="C15" s="192"/>
      <c r="D15" s="193"/>
    </row>
    <row r="16" spans="1:4" ht="13.5" customHeight="1">
      <c r="A16" s="39" t="s">
        <v>97</v>
      </c>
      <c r="B16" s="131"/>
      <c r="C16" s="131"/>
      <c r="D16" s="131"/>
    </row>
    <row r="17" spans="1:4" ht="13.5" customHeight="1">
      <c r="A17" s="6" t="s">
        <v>11</v>
      </c>
      <c r="B17" s="130" t="s">
        <v>75</v>
      </c>
      <c r="C17" s="152">
        <v>2.16</v>
      </c>
      <c r="D17" s="166">
        <f>C17*B8*12</f>
        <v>31181.760000000002</v>
      </c>
    </row>
    <row r="18" spans="1:4" ht="12.75" customHeight="1">
      <c r="A18" s="6" t="s">
        <v>12</v>
      </c>
      <c r="B18" s="67" t="s">
        <v>75</v>
      </c>
      <c r="C18" s="152"/>
      <c r="D18" s="155"/>
    </row>
    <row r="19" spans="1:4" ht="14.25" customHeight="1">
      <c r="A19" s="6" t="s">
        <v>13</v>
      </c>
      <c r="B19" s="67" t="s">
        <v>75</v>
      </c>
      <c r="C19" s="152"/>
      <c r="D19" s="155"/>
    </row>
    <row r="20" spans="1:4" ht="13.5" customHeight="1">
      <c r="A20" s="6" t="s">
        <v>14</v>
      </c>
      <c r="B20" s="67" t="s">
        <v>76</v>
      </c>
      <c r="C20" s="152"/>
      <c r="D20" s="155"/>
    </row>
    <row r="21" spans="1:4" ht="12.75" customHeight="1">
      <c r="A21" s="39" t="s">
        <v>93</v>
      </c>
      <c r="B21" s="67"/>
      <c r="C21" s="152"/>
      <c r="D21" s="155"/>
    </row>
    <row r="22" spans="1:4" ht="30" customHeight="1">
      <c r="A22" s="6" t="s">
        <v>15</v>
      </c>
      <c r="B22" s="67" t="s">
        <v>94</v>
      </c>
      <c r="C22" s="152"/>
      <c r="D22" s="156"/>
    </row>
    <row r="23" spans="1:4" ht="12.75" customHeight="1">
      <c r="A23" s="157" t="s">
        <v>16</v>
      </c>
      <c r="B23" s="158"/>
      <c r="C23" s="158"/>
      <c r="D23" s="159"/>
    </row>
    <row r="24" spans="1:4" ht="12" customHeight="1">
      <c r="A24" s="7" t="s">
        <v>17</v>
      </c>
      <c r="B24" s="21" t="s">
        <v>78</v>
      </c>
      <c r="C24" s="152">
        <v>0.2</v>
      </c>
      <c r="D24" s="167">
        <f>C24*B8*12</f>
        <v>2887.2000000000003</v>
      </c>
    </row>
    <row r="25" spans="1:4" ht="12" customHeight="1">
      <c r="A25" s="7" t="s">
        <v>18</v>
      </c>
      <c r="B25" s="21" t="s">
        <v>77</v>
      </c>
      <c r="C25" s="152"/>
      <c r="D25" s="167"/>
    </row>
    <row r="26" spans="1:4" ht="13.5" customHeight="1">
      <c r="A26" s="157" t="s">
        <v>19</v>
      </c>
      <c r="B26" s="158"/>
      <c r="C26" s="158"/>
      <c r="D26" s="159"/>
    </row>
    <row r="27" spans="1:4">
      <c r="A27" s="167" t="s">
        <v>20</v>
      </c>
      <c r="B27" s="167"/>
      <c r="C27" s="167"/>
      <c r="D27" s="167"/>
    </row>
    <row r="28" spans="1:4" ht="37.5" customHeight="1">
      <c r="A28" s="8" t="s">
        <v>21</v>
      </c>
      <c r="B28" s="22" t="s">
        <v>79</v>
      </c>
      <c r="C28" s="152">
        <v>0.66</v>
      </c>
      <c r="D28" s="154">
        <f>C28*B8*12</f>
        <v>9527.76</v>
      </c>
    </row>
    <row r="29" spans="1:4" ht="15" customHeight="1">
      <c r="A29" s="9" t="s">
        <v>23</v>
      </c>
      <c r="B29" s="23" t="s">
        <v>80</v>
      </c>
      <c r="C29" s="152"/>
      <c r="D29" s="155"/>
    </row>
    <row r="30" spans="1:4" ht="13.5" customHeight="1">
      <c r="A30" s="9" t="s">
        <v>25</v>
      </c>
      <c r="B30" s="23" t="s">
        <v>80</v>
      </c>
      <c r="C30" s="152"/>
      <c r="D30" s="155"/>
    </row>
    <row r="31" spans="1:4" ht="36" customHeight="1">
      <c r="A31" s="9" t="s">
        <v>26</v>
      </c>
      <c r="B31" s="22" t="s">
        <v>22</v>
      </c>
      <c r="C31" s="152"/>
      <c r="D31" s="155"/>
    </row>
    <row r="32" spans="1:4" ht="14.25" customHeight="1">
      <c r="A32" s="9" t="s">
        <v>27</v>
      </c>
      <c r="B32" s="22" t="s">
        <v>88</v>
      </c>
      <c r="C32" s="152"/>
      <c r="D32" s="155"/>
    </row>
    <row r="33" spans="1:4" ht="33.75" customHeight="1">
      <c r="A33" s="24" t="s">
        <v>28</v>
      </c>
      <c r="B33" s="22" t="s">
        <v>22</v>
      </c>
      <c r="C33" s="153"/>
      <c r="D33" s="156"/>
    </row>
    <row r="34" spans="1:4" ht="11.25" customHeight="1">
      <c r="A34" s="169" t="s">
        <v>29</v>
      </c>
      <c r="B34" s="169"/>
      <c r="C34" s="169"/>
      <c r="D34" s="169"/>
    </row>
    <row r="35" spans="1:4" ht="35.25" customHeight="1">
      <c r="A35" s="9" t="s">
        <v>30</v>
      </c>
      <c r="B35" s="22" t="s">
        <v>22</v>
      </c>
      <c r="C35" s="154">
        <v>0.76</v>
      </c>
      <c r="D35" s="152">
        <f>C35*12*B8</f>
        <v>10971.36</v>
      </c>
    </row>
    <row r="36" spans="1:4" ht="38.25" customHeight="1">
      <c r="A36" s="9" t="s">
        <v>31</v>
      </c>
      <c r="B36" s="22" t="s">
        <v>22</v>
      </c>
      <c r="C36" s="154"/>
      <c r="D36" s="152"/>
    </row>
    <row r="37" spans="1:4" ht="15" customHeight="1">
      <c r="A37" s="10" t="s">
        <v>32</v>
      </c>
      <c r="B37" s="22" t="s">
        <v>22</v>
      </c>
      <c r="C37" s="154"/>
      <c r="D37" s="152"/>
    </row>
    <row r="38" spans="1:4" ht="12.75" customHeight="1">
      <c r="A38" s="167" t="s">
        <v>33</v>
      </c>
      <c r="B38" s="167"/>
      <c r="C38" s="167"/>
      <c r="D38" s="167"/>
    </row>
    <row r="39" spans="1:4" ht="29.25" customHeight="1">
      <c r="A39" s="9" t="s">
        <v>34</v>
      </c>
      <c r="B39" s="22" t="s">
        <v>77</v>
      </c>
      <c r="C39" s="154">
        <v>3.09</v>
      </c>
      <c r="D39" s="154">
        <f>C39*12*B8</f>
        <v>44607.24</v>
      </c>
    </row>
    <row r="40" spans="1:4" ht="14.25" customHeight="1">
      <c r="A40" s="9" t="s">
        <v>35</v>
      </c>
      <c r="B40" s="22" t="s">
        <v>81</v>
      </c>
      <c r="C40" s="154"/>
      <c r="D40" s="154"/>
    </row>
    <row r="41" spans="1:4" ht="17.25" customHeight="1">
      <c r="A41" s="9" t="s">
        <v>36</v>
      </c>
      <c r="B41" s="22" t="s">
        <v>81</v>
      </c>
      <c r="C41" s="154"/>
      <c r="D41" s="154"/>
    </row>
    <row r="42" spans="1:4" ht="24.75" customHeight="1">
      <c r="A42" s="9" t="s">
        <v>37</v>
      </c>
      <c r="B42" s="22" t="s">
        <v>82</v>
      </c>
      <c r="C42" s="154"/>
      <c r="D42" s="154"/>
    </row>
    <row r="43" spans="1:4" ht="30" customHeight="1">
      <c r="A43" s="9" t="s">
        <v>38</v>
      </c>
      <c r="B43" s="22" t="s">
        <v>82</v>
      </c>
      <c r="C43" s="154"/>
      <c r="D43" s="154"/>
    </row>
    <row r="44" spans="1:4" ht="12.75" customHeight="1">
      <c r="A44" s="68" t="s">
        <v>95</v>
      </c>
      <c r="B44" s="6"/>
      <c r="C44" s="154"/>
      <c r="D44" s="154"/>
    </row>
    <row r="45" spans="1:4" ht="35.25" customHeight="1">
      <c r="A45" s="9" t="s">
        <v>40</v>
      </c>
      <c r="B45" s="22" t="s">
        <v>79</v>
      </c>
      <c r="C45" s="154"/>
      <c r="D45" s="154"/>
    </row>
    <row r="46" spans="1:4" ht="14.25" customHeight="1">
      <c r="A46" s="9" t="s">
        <v>41</v>
      </c>
      <c r="B46" s="22" t="s">
        <v>24</v>
      </c>
      <c r="C46" s="154"/>
      <c r="D46" s="154"/>
    </row>
    <row r="47" spans="1:4" ht="14.25" customHeight="1">
      <c r="A47" s="9" t="s">
        <v>42</v>
      </c>
      <c r="B47" s="23" t="s">
        <v>24</v>
      </c>
      <c r="C47" s="154"/>
      <c r="D47" s="154"/>
    </row>
    <row r="48" spans="1:4" ht="13.5" customHeight="1">
      <c r="A48" s="9" t="s">
        <v>43</v>
      </c>
      <c r="B48" s="23" t="s">
        <v>24</v>
      </c>
      <c r="C48" s="154"/>
      <c r="D48" s="154"/>
    </row>
    <row r="49" spans="1:4" ht="13.5" customHeight="1">
      <c r="A49" s="9" t="s">
        <v>44</v>
      </c>
      <c r="B49" s="21" t="s">
        <v>156</v>
      </c>
      <c r="C49" s="154"/>
      <c r="D49" s="154"/>
    </row>
    <row r="50" spans="1:4" ht="36.75" customHeight="1">
      <c r="A50" s="10" t="s">
        <v>45</v>
      </c>
      <c r="B50" s="22" t="s">
        <v>22</v>
      </c>
      <c r="C50" s="154"/>
      <c r="D50" s="154"/>
    </row>
    <row r="51" spans="1:4">
      <c r="A51" s="167" t="s">
        <v>46</v>
      </c>
      <c r="B51" s="167"/>
      <c r="C51" s="167"/>
      <c r="D51" s="167"/>
    </row>
    <row r="52" spans="1:4" ht="15.75" customHeight="1">
      <c r="A52" s="9" t="s">
        <v>47</v>
      </c>
      <c r="B52" s="22" t="s">
        <v>83</v>
      </c>
      <c r="C52" s="152">
        <v>2.0299999999999998</v>
      </c>
      <c r="D52" s="154">
        <f>C52*B8*12</f>
        <v>29305.079999999994</v>
      </c>
    </row>
    <row r="53" spans="1:4" ht="12.75" customHeight="1">
      <c r="A53" s="9" t="s">
        <v>48</v>
      </c>
      <c r="B53" s="22" t="s">
        <v>83</v>
      </c>
      <c r="C53" s="152"/>
      <c r="D53" s="154"/>
    </row>
    <row r="54" spans="1:4" ht="25.5" customHeight="1">
      <c r="A54" s="9" t="s">
        <v>49</v>
      </c>
      <c r="B54" s="22" t="s">
        <v>83</v>
      </c>
      <c r="C54" s="152"/>
      <c r="D54" s="154"/>
    </row>
    <row r="55" spans="1:4" ht="16.5" customHeight="1">
      <c r="A55" s="9" t="s">
        <v>50</v>
      </c>
      <c r="B55" s="22" t="s">
        <v>83</v>
      </c>
      <c r="C55" s="152"/>
      <c r="D55" s="154"/>
    </row>
    <row r="56" spans="1:4" ht="39.75" customHeight="1">
      <c r="A56" s="10" t="s">
        <v>51</v>
      </c>
      <c r="B56" s="22" t="s">
        <v>22</v>
      </c>
      <c r="C56" s="152"/>
      <c r="D56" s="154"/>
    </row>
    <row r="57" spans="1:4" ht="16.5" customHeight="1">
      <c r="A57" s="10" t="s">
        <v>52</v>
      </c>
      <c r="B57" s="23" t="s">
        <v>84</v>
      </c>
      <c r="C57" s="152"/>
      <c r="D57" s="154"/>
    </row>
    <row r="58" spans="1:4">
      <c r="A58" s="157" t="s">
        <v>85</v>
      </c>
      <c r="B58" s="158"/>
      <c r="C58" s="158"/>
      <c r="D58" s="159"/>
    </row>
    <row r="59" spans="1:4" ht="26.25" customHeight="1">
      <c r="A59" s="175" t="s">
        <v>96</v>
      </c>
      <c r="B59" s="177" t="s">
        <v>86</v>
      </c>
      <c r="C59" s="152">
        <v>2.41</v>
      </c>
      <c r="D59" s="154">
        <f>C59*B8*12</f>
        <v>34790.76</v>
      </c>
    </row>
    <row r="60" spans="1:4" ht="13.5" customHeight="1">
      <c r="A60" s="176"/>
      <c r="B60" s="177"/>
      <c r="C60" s="152"/>
      <c r="D60" s="154"/>
    </row>
    <row r="61" spans="1:4" ht="15" customHeight="1">
      <c r="A61" s="157" t="s">
        <v>55</v>
      </c>
      <c r="B61" s="158"/>
      <c r="C61" s="158"/>
      <c r="D61" s="159"/>
    </row>
    <row r="62" spans="1:4" ht="16.5" customHeight="1">
      <c r="A62" s="6" t="s">
        <v>90</v>
      </c>
      <c r="B62" s="21" t="s">
        <v>87</v>
      </c>
      <c r="C62" s="170">
        <v>2.14</v>
      </c>
      <c r="D62" s="172">
        <f>2574.41+28318.51</f>
        <v>30892.92</v>
      </c>
    </row>
    <row r="63" spans="1:4">
      <c r="A63" s="6" t="s">
        <v>91</v>
      </c>
      <c r="B63" s="21" t="s">
        <v>87</v>
      </c>
      <c r="C63" s="171"/>
      <c r="D63" s="173"/>
    </row>
    <row r="64" spans="1:4" ht="15" customHeight="1">
      <c r="A64" s="6" t="s">
        <v>92</v>
      </c>
      <c r="B64" s="21" t="s">
        <v>87</v>
      </c>
      <c r="C64" s="169"/>
      <c r="D64" s="174"/>
    </row>
    <row r="65" spans="1:4" ht="38.25" customHeight="1">
      <c r="A65" s="6" t="s">
        <v>143</v>
      </c>
      <c r="B65" s="22" t="s">
        <v>22</v>
      </c>
      <c r="C65" s="66">
        <v>4.22</v>
      </c>
      <c r="D65" s="66">
        <f>C65*12*B8</f>
        <v>60919.92</v>
      </c>
    </row>
    <row r="66" spans="1:4">
      <c r="A66" s="68" t="s">
        <v>56</v>
      </c>
      <c r="B66" s="23"/>
      <c r="C66" s="28">
        <f>C65+C62+C59+C52+C39+C35+C28+C24+C17+C13</f>
        <v>19.36</v>
      </c>
      <c r="D66" s="28">
        <f>D65+D62+D59+D52+D39+D35+D28+D24+D17+D13</f>
        <v>279480.84000000003</v>
      </c>
    </row>
    <row r="68" spans="1:4">
      <c r="D68" s="40"/>
    </row>
    <row r="69" spans="1:4">
      <c r="D69" s="40"/>
    </row>
    <row r="70" spans="1:4">
      <c r="D70" s="40"/>
    </row>
    <row r="71" spans="1:4">
      <c r="D71" s="40"/>
    </row>
    <row r="73" spans="1:4">
      <c r="D73" s="40"/>
    </row>
  </sheetData>
  <mergeCells count="31">
    <mergeCell ref="A26:D26"/>
    <mergeCell ref="A27:D27"/>
    <mergeCell ref="C28:C33"/>
    <mergeCell ref="D28:D33"/>
    <mergeCell ref="A12:D12"/>
    <mergeCell ref="A15:D15"/>
    <mergeCell ref="C17:C22"/>
    <mergeCell ref="D17:D22"/>
    <mergeCell ref="A23:D23"/>
    <mergeCell ref="C24:C25"/>
    <mergeCell ref="D24:D25"/>
    <mergeCell ref="B13:B14"/>
    <mergeCell ref="C13:C14"/>
    <mergeCell ref="D13:D14"/>
    <mergeCell ref="A34:D34"/>
    <mergeCell ref="C35:C37"/>
    <mergeCell ref="D35:D37"/>
    <mergeCell ref="A38:D38"/>
    <mergeCell ref="C39:C50"/>
    <mergeCell ref="D39:D50"/>
    <mergeCell ref="A61:D61"/>
    <mergeCell ref="C62:C64"/>
    <mergeCell ref="D62:D64"/>
    <mergeCell ref="A51:D51"/>
    <mergeCell ref="C52:C57"/>
    <mergeCell ref="D52:D57"/>
    <mergeCell ref="A58:D58"/>
    <mergeCell ref="A59:A60"/>
    <mergeCell ref="B59:B60"/>
    <mergeCell ref="C59:C60"/>
    <mergeCell ref="D59:D6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82"/>
  <sheetViews>
    <sheetView topLeftCell="A46" workbookViewId="0">
      <selection activeCell="D77" sqref="D77"/>
    </sheetView>
  </sheetViews>
  <sheetFormatPr defaultRowHeight="15"/>
  <cols>
    <col min="1" max="1" width="90.1406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149</v>
      </c>
      <c r="B2" s="2"/>
      <c r="C2" s="2"/>
      <c r="D2" s="2"/>
    </row>
    <row r="3" spans="1:4">
      <c r="A3" s="1" t="s">
        <v>150</v>
      </c>
      <c r="B3" s="2"/>
      <c r="C3" s="2"/>
      <c r="D3" s="2"/>
    </row>
    <row r="4" spans="1:4">
      <c r="A4" s="25" t="s">
        <v>58</v>
      </c>
      <c r="B4" s="2">
        <v>1990</v>
      </c>
      <c r="C4" s="2"/>
      <c r="D4" s="2"/>
    </row>
    <row r="5" spans="1:4">
      <c r="A5" s="25" t="s">
        <v>59</v>
      </c>
      <c r="B5" s="2">
        <v>4</v>
      </c>
      <c r="C5" s="2"/>
      <c r="D5" s="2"/>
    </row>
    <row r="6" spans="1:4">
      <c r="A6" s="25" t="s">
        <v>60</v>
      </c>
      <c r="B6" s="2">
        <v>3</v>
      </c>
      <c r="C6" s="2"/>
      <c r="D6" s="2"/>
    </row>
    <row r="7" spans="1:4">
      <c r="A7" s="25" t="s">
        <v>61</v>
      </c>
      <c r="B7" s="2">
        <v>36</v>
      </c>
      <c r="C7" s="2"/>
      <c r="D7" s="2"/>
    </row>
    <row r="8" spans="1:4">
      <c r="A8" s="25" t="s">
        <v>72</v>
      </c>
      <c r="B8" s="2">
        <v>1726.4</v>
      </c>
      <c r="C8" s="2"/>
      <c r="D8" s="2"/>
    </row>
    <row r="9" spans="1:4">
      <c r="A9" s="25" t="s">
        <v>62</v>
      </c>
      <c r="B9" s="2">
        <v>171.3</v>
      </c>
      <c r="C9" s="2"/>
      <c r="D9" s="2"/>
    </row>
    <row r="10" spans="1:4">
      <c r="A10" s="25" t="s">
        <v>73</v>
      </c>
      <c r="B10" s="2">
        <v>445</v>
      </c>
      <c r="C10" s="2"/>
      <c r="D10" s="2"/>
    </row>
    <row r="11" spans="1:4" ht="36.75">
      <c r="A11" s="64" t="s">
        <v>1</v>
      </c>
      <c r="B11" s="64" t="s">
        <v>2</v>
      </c>
      <c r="C11" s="64" t="s">
        <v>3</v>
      </c>
      <c r="D11" s="64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1.02</v>
      </c>
      <c r="D13" s="163">
        <f>C13*12*B8</f>
        <v>21131.136000000002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6" t="s">
        <v>9</v>
      </c>
      <c r="B15" s="64"/>
      <c r="C15" s="26"/>
      <c r="D15" s="30"/>
    </row>
    <row r="16" spans="1:4">
      <c r="A16" s="6" t="s">
        <v>334</v>
      </c>
      <c r="B16" s="129" t="s">
        <v>88</v>
      </c>
      <c r="C16" s="44">
        <f>D16/12/B8</f>
        <v>1.7956441149212232</v>
      </c>
      <c r="D16" s="30">
        <v>37200</v>
      </c>
    </row>
    <row r="17" spans="1:4">
      <c r="A17" s="6" t="s">
        <v>272</v>
      </c>
      <c r="B17" s="129" t="s">
        <v>24</v>
      </c>
      <c r="C17" s="44">
        <v>1.7</v>
      </c>
      <c r="D17" s="30">
        <f>C17*12*B8</f>
        <v>35218.559999999998</v>
      </c>
    </row>
    <row r="18" spans="1:4">
      <c r="A18" s="165" t="s">
        <v>10</v>
      </c>
      <c r="B18" s="165"/>
      <c r="C18" s="165"/>
      <c r="D18" s="165"/>
    </row>
    <row r="19" spans="1:4" ht="13.5" customHeight="1">
      <c r="A19" s="39" t="s">
        <v>97</v>
      </c>
      <c r="B19" s="65"/>
      <c r="C19" s="65"/>
      <c r="D19" s="65"/>
    </row>
    <row r="20" spans="1:4" ht="13.5" customHeight="1">
      <c r="A20" s="6" t="s">
        <v>11</v>
      </c>
      <c r="B20" s="64" t="s">
        <v>75</v>
      </c>
      <c r="C20" s="152">
        <v>2.16</v>
      </c>
      <c r="D20" s="166">
        <f>C20*B8*12</f>
        <v>44748.288</v>
      </c>
    </row>
    <row r="21" spans="1:4" ht="12.75" customHeight="1">
      <c r="A21" s="6" t="s">
        <v>12</v>
      </c>
      <c r="B21" s="64" t="s">
        <v>75</v>
      </c>
      <c r="C21" s="152"/>
      <c r="D21" s="155"/>
    </row>
    <row r="22" spans="1:4" ht="14.25" customHeight="1">
      <c r="A22" s="6" t="s">
        <v>13</v>
      </c>
      <c r="B22" s="64" t="s">
        <v>75</v>
      </c>
      <c r="C22" s="152"/>
      <c r="D22" s="155"/>
    </row>
    <row r="23" spans="1:4" ht="13.5" customHeight="1">
      <c r="A23" s="6" t="s">
        <v>14</v>
      </c>
      <c r="B23" s="64" t="s">
        <v>76</v>
      </c>
      <c r="C23" s="152"/>
      <c r="D23" s="155"/>
    </row>
    <row r="24" spans="1:4" ht="12.75" customHeight="1">
      <c r="A24" s="39" t="s">
        <v>93</v>
      </c>
      <c r="B24" s="64"/>
      <c r="C24" s="152"/>
      <c r="D24" s="155"/>
    </row>
    <row r="25" spans="1:4" ht="30" customHeight="1">
      <c r="A25" s="6" t="s">
        <v>15</v>
      </c>
      <c r="B25" s="64" t="s">
        <v>94</v>
      </c>
      <c r="C25" s="152"/>
      <c r="D25" s="156"/>
    </row>
    <row r="26" spans="1:4" ht="12.75" customHeight="1">
      <c r="A26" s="157" t="s">
        <v>16</v>
      </c>
      <c r="B26" s="158"/>
      <c r="C26" s="158"/>
      <c r="D26" s="159"/>
    </row>
    <row r="27" spans="1:4" ht="12" customHeight="1">
      <c r="A27" s="7" t="s">
        <v>17</v>
      </c>
      <c r="B27" s="21" t="s">
        <v>78</v>
      </c>
      <c r="C27" s="152">
        <v>0.2</v>
      </c>
      <c r="D27" s="167">
        <f>C27*B8*12</f>
        <v>4143.3600000000006</v>
      </c>
    </row>
    <row r="28" spans="1:4" ht="12" customHeight="1">
      <c r="A28" s="7" t="s">
        <v>18</v>
      </c>
      <c r="B28" s="21" t="s">
        <v>77</v>
      </c>
      <c r="C28" s="152"/>
      <c r="D28" s="167"/>
    </row>
    <row r="29" spans="1:4" ht="13.5" customHeight="1">
      <c r="A29" s="157" t="s">
        <v>19</v>
      </c>
      <c r="B29" s="158"/>
      <c r="C29" s="158"/>
      <c r="D29" s="159"/>
    </row>
    <row r="30" spans="1:4">
      <c r="A30" s="167" t="s">
        <v>20</v>
      </c>
      <c r="B30" s="167"/>
      <c r="C30" s="167"/>
      <c r="D30" s="167"/>
    </row>
    <row r="31" spans="1:4" ht="37.5" customHeight="1">
      <c r="A31" s="8" t="s">
        <v>21</v>
      </c>
      <c r="B31" s="22" t="s">
        <v>79</v>
      </c>
      <c r="C31" s="152">
        <v>0.79</v>
      </c>
      <c r="D31" s="154">
        <f>C31*B8*12</f>
        <v>16366.272000000003</v>
      </c>
    </row>
    <row r="32" spans="1:4" ht="15" customHeight="1">
      <c r="A32" s="9" t="s">
        <v>23</v>
      </c>
      <c r="B32" s="23" t="s">
        <v>80</v>
      </c>
      <c r="C32" s="152"/>
      <c r="D32" s="155"/>
    </row>
    <row r="33" spans="1:4" ht="13.5" customHeight="1">
      <c r="A33" s="9" t="s">
        <v>25</v>
      </c>
      <c r="B33" s="23" t="s">
        <v>80</v>
      </c>
      <c r="C33" s="152"/>
      <c r="D33" s="155"/>
    </row>
    <row r="34" spans="1:4" ht="36" customHeight="1">
      <c r="A34" s="9" t="s">
        <v>26</v>
      </c>
      <c r="B34" s="22" t="s">
        <v>22</v>
      </c>
      <c r="C34" s="152"/>
      <c r="D34" s="155"/>
    </row>
    <row r="35" spans="1:4" ht="14.25" customHeight="1">
      <c r="A35" s="9" t="s">
        <v>27</v>
      </c>
      <c r="B35" s="22" t="s">
        <v>24</v>
      </c>
      <c r="C35" s="152"/>
      <c r="D35" s="155"/>
    </row>
    <row r="36" spans="1:4" ht="33.75" customHeight="1">
      <c r="A36" s="24" t="s">
        <v>28</v>
      </c>
      <c r="B36" s="22" t="s">
        <v>22</v>
      </c>
      <c r="C36" s="153"/>
      <c r="D36" s="156"/>
    </row>
    <row r="37" spans="1:4" ht="15.75" customHeight="1">
      <c r="A37" s="167" t="s">
        <v>65</v>
      </c>
      <c r="B37" s="167"/>
      <c r="C37" s="167"/>
      <c r="D37" s="167"/>
    </row>
    <row r="38" spans="1:4" ht="36.75" customHeight="1">
      <c r="A38" s="9" t="s">
        <v>66</v>
      </c>
      <c r="B38" s="22" t="s">
        <v>79</v>
      </c>
      <c r="C38" s="154">
        <v>1.29</v>
      </c>
      <c r="D38" s="152">
        <f>C38*B8*12</f>
        <v>26724.671999999999</v>
      </c>
    </row>
    <row r="39" spans="1:4" ht="14.25" customHeight="1">
      <c r="A39" s="9" t="s">
        <v>67</v>
      </c>
      <c r="B39" s="22" t="s">
        <v>80</v>
      </c>
      <c r="C39" s="154"/>
      <c r="D39" s="168"/>
    </row>
    <row r="40" spans="1:4" ht="14.25" customHeight="1">
      <c r="A40" s="9" t="s">
        <v>68</v>
      </c>
      <c r="B40" s="22" t="s">
        <v>80</v>
      </c>
      <c r="C40" s="154"/>
      <c r="D40" s="168"/>
    </row>
    <row r="41" spans="1:4" ht="24" customHeight="1">
      <c r="A41" s="9" t="s">
        <v>69</v>
      </c>
      <c r="B41" s="22" t="s">
        <v>79</v>
      </c>
      <c r="C41" s="154"/>
      <c r="D41" s="168"/>
    </row>
    <row r="42" spans="1:4" ht="25.5" customHeight="1">
      <c r="A42" s="10" t="s">
        <v>70</v>
      </c>
      <c r="B42" s="22" t="s">
        <v>79</v>
      </c>
      <c r="C42" s="154"/>
      <c r="D42" s="168"/>
    </row>
    <row r="43" spans="1:4" ht="14.25" customHeight="1">
      <c r="A43" s="9" t="s">
        <v>71</v>
      </c>
      <c r="B43" s="22" t="s">
        <v>24</v>
      </c>
      <c r="C43" s="154"/>
      <c r="D43" s="162"/>
    </row>
    <row r="44" spans="1:4" ht="11.25" customHeight="1">
      <c r="A44" s="169" t="s">
        <v>29</v>
      </c>
      <c r="B44" s="169"/>
      <c r="C44" s="169"/>
      <c r="D44" s="169"/>
    </row>
    <row r="45" spans="1:4" ht="35.25" customHeight="1">
      <c r="A45" s="9" t="s">
        <v>30</v>
      </c>
      <c r="B45" s="22" t="s">
        <v>22</v>
      </c>
      <c r="C45" s="154">
        <v>0.91</v>
      </c>
      <c r="D45" s="152">
        <f>C45*B8*12</f>
        <v>18852.288</v>
      </c>
    </row>
    <row r="46" spans="1:4" ht="38.25" customHeight="1">
      <c r="A46" s="9" t="s">
        <v>31</v>
      </c>
      <c r="B46" s="22" t="s">
        <v>22</v>
      </c>
      <c r="C46" s="154"/>
      <c r="D46" s="152"/>
    </row>
    <row r="47" spans="1:4" ht="15" customHeight="1">
      <c r="A47" s="10" t="s">
        <v>32</v>
      </c>
      <c r="B47" s="22" t="s">
        <v>22</v>
      </c>
      <c r="C47" s="154"/>
      <c r="D47" s="152"/>
    </row>
    <row r="48" spans="1:4" ht="12.75" customHeight="1">
      <c r="A48" s="167" t="s">
        <v>33</v>
      </c>
      <c r="B48" s="167"/>
      <c r="C48" s="167"/>
      <c r="D48" s="167"/>
    </row>
    <row r="49" spans="1:4" ht="29.25" customHeight="1">
      <c r="A49" s="9" t="s">
        <v>34</v>
      </c>
      <c r="B49" s="22" t="s">
        <v>77</v>
      </c>
      <c r="C49" s="154">
        <v>1.58</v>
      </c>
      <c r="D49" s="154">
        <f>C49*12*B8</f>
        <v>32732.544000000002</v>
      </c>
    </row>
    <row r="50" spans="1:4" ht="14.25" customHeight="1">
      <c r="A50" s="9" t="s">
        <v>35</v>
      </c>
      <c r="B50" s="22" t="s">
        <v>81</v>
      </c>
      <c r="C50" s="154"/>
      <c r="D50" s="154"/>
    </row>
    <row r="51" spans="1:4" ht="17.25" customHeight="1">
      <c r="A51" s="9" t="s">
        <v>36</v>
      </c>
      <c r="B51" s="22" t="s">
        <v>81</v>
      </c>
      <c r="C51" s="154"/>
      <c r="D51" s="154"/>
    </row>
    <row r="52" spans="1:4" ht="24.75" customHeight="1">
      <c r="A52" s="9" t="s">
        <v>37</v>
      </c>
      <c r="B52" s="22" t="s">
        <v>82</v>
      </c>
      <c r="C52" s="154"/>
      <c r="D52" s="154"/>
    </row>
    <row r="53" spans="1:4" ht="30" customHeight="1">
      <c r="A53" s="9" t="s">
        <v>38</v>
      </c>
      <c r="B53" s="22" t="s">
        <v>82</v>
      </c>
      <c r="C53" s="154"/>
      <c r="D53" s="154"/>
    </row>
    <row r="54" spans="1:4" ht="12.75" customHeight="1">
      <c r="A54" s="65" t="s">
        <v>95</v>
      </c>
      <c r="B54" s="6"/>
      <c r="C54" s="154"/>
      <c r="D54" s="154"/>
    </row>
    <row r="55" spans="1:4" ht="35.25" customHeight="1">
      <c r="A55" s="9" t="s">
        <v>40</v>
      </c>
      <c r="B55" s="22" t="s">
        <v>79</v>
      </c>
      <c r="C55" s="154"/>
      <c r="D55" s="154"/>
    </row>
    <row r="56" spans="1:4" ht="14.25" customHeight="1">
      <c r="A56" s="9" t="s">
        <v>41</v>
      </c>
      <c r="B56" s="22" t="s">
        <v>24</v>
      </c>
      <c r="C56" s="154"/>
      <c r="D56" s="154"/>
    </row>
    <row r="57" spans="1:4" ht="14.25" customHeight="1">
      <c r="A57" s="9" t="s">
        <v>42</v>
      </c>
      <c r="B57" s="23" t="s">
        <v>24</v>
      </c>
      <c r="C57" s="154"/>
      <c r="D57" s="154"/>
    </row>
    <row r="58" spans="1:4" ht="13.5" customHeight="1">
      <c r="A58" s="9" t="s">
        <v>43</v>
      </c>
      <c r="B58" s="23" t="s">
        <v>24</v>
      </c>
      <c r="C58" s="154"/>
      <c r="D58" s="154"/>
    </row>
    <row r="59" spans="1:4" ht="13.5" customHeight="1">
      <c r="A59" s="9" t="s">
        <v>44</v>
      </c>
      <c r="B59" s="21" t="s">
        <v>151</v>
      </c>
      <c r="C59" s="154"/>
      <c r="D59" s="154"/>
    </row>
    <row r="60" spans="1:4" ht="36.75" customHeight="1">
      <c r="A60" s="10" t="s">
        <v>45</v>
      </c>
      <c r="B60" s="22" t="s">
        <v>22</v>
      </c>
      <c r="C60" s="154"/>
      <c r="D60" s="154"/>
    </row>
    <row r="61" spans="1:4">
      <c r="A61" s="167" t="s">
        <v>46</v>
      </c>
      <c r="B61" s="167"/>
      <c r="C61" s="167"/>
      <c r="D61" s="167"/>
    </row>
    <row r="62" spans="1:4" ht="15.75" customHeight="1">
      <c r="A62" s="9" t="s">
        <v>47</v>
      </c>
      <c r="B62" s="22" t="s">
        <v>83</v>
      </c>
      <c r="C62" s="152">
        <v>1.27</v>
      </c>
      <c r="D62" s="154">
        <f>C62*B8*12-2943.09</f>
        <v>23367.246000000003</v>
      </c>
    </row>
    <row r="63" spans="1:4" ht="12.75" customHeight="1">
      <c r="A63" s="9" t="s">
        <v>48</v>
      </c>
      <c r="B63" s="22" t="s">
        <v>83</v>
      </c>
      <c r="C63" s="152"/>
      <c r="D63" s="154"/>
    </row>
    <row r="64" spans="1:4" ht="25.5" customHeight="1">
      <c r="A64" s="9" t="s">
        <v>49</v>
      </c>
      <c r="B64" s="22" t="s">
        <v>83</v>
      </c>
      <c r="C64" s="152"/>
      <c r="D64" s="154"/>
    </row>
    <row r="65" spans="1:4" ht="16.5" customHeight="1">
      <c r="A65" s="9" t="s">
        <v>50</v>
      </c>
      <c r="B65" s="22" t="s">
        <v>83</v>
      </c>
      <c r="C65" s="152"/>
      <c r="D65" s="154"/>
    </row>
    <row r="66" spans="1:4" ht="39.75" customHeight="1">
      <c r="A66" s="10" t="s">
        <v>51</v>
      </c>
      <c r="B66" s="22" t="s">
        <v>22</v>
      </c>
      <c r="C66" s="152"/>
      <c r="D66" s="154"/>
    </row>
    <row r="67" spans="1:4" ht="16.5" customHeight="1">
      <c r="A67" s="10" t="s">
        <v>52</v>
      </c>
      <c r="B67" s="23" t="s">
        <v>84</v>
      </c>
      <c r="C67" s="152"/>
      <c r="D67" s="154"/>
    </row>
    <row r="68" spans="1:4">
      <c r="A68" s="157" t="s">
        <v>85</v>
      </c>
      <c r="B68" s="158"/>
      <c r="C68" s="158"/>
      <c r="D68" s="159"/>
    </row>
    <row r="69" spans="1:4" ht="26.25" customHeight="1">
      <c r="A69" s="175" t="s">
        <v>96</v>
      </c>
      <c r="B69" s="177" t="s">
        <v>86</v>
      </c>
      <c r="C69" s="152">
        <v>2.41</v>
      </c>
      <c r="D69" s="154">
        <f>C69*B8*12</f>
        <v>49927.488000000012</v>
      </c>
    </row>
    <row r="70" spans="1:4" ht="13.5" customHeight="1">
      <c r="A70" s="176"/>
      <c r="B70" s="177"/>
      <c r="C70" s="152"/>
      <c r="D70" s="154"/>
    </row>
    <row r="71" spans="1:4" ht="15" customHeight="1">
      <c r="A71" s="157" t="s">
        <v>55</v>
      </c>
      <c r="B71" s="158"/>
      <c r="C71" s="158"/>
      <c r="D71" s="159"/>
    </row>
    <row r="72" spans="1:4" ht="16.5" customHeight="1">
      <c r="A72" s="6" t="s">
        <v>90</v>
      </c>
      <c r="B72" s="21" t="s">
        <v>87</v>
      </c>
      <c r="C72" s="170">
        <v>2.14</v>
      </c>
      <c r="D72" s="172">
        <f>C72*12*B8</f>
        <v>44333.952000000005</v>
      </c>
    </row>
    <row r="73" spans="1:4">
      <c r="A73" s="6" t="s">
        <v>91</v>
      </c>
      <c r="B73" s="21" t="s">
        <v>87</v>
      </c>
      <c r="C73" s="171"/>
      <c r="D73" s="173"/>
    </row>
    <row r="74" spans="1:4" ht="15" customHeight="1">
      <c r="A74" s="6" t="s">
        <v>92</v>
      </c>
      <c r="B74" s="21" t="s">
        <v>87</v>
      </c>
      <c r="C74" s="169"/>
      <c r="D74" s="174"/>
    </row>
    <row r="75" spans="1:4" ht="38.25" customHeight="1">
      <c r="A75" s="6" t="s">
        <v>143</v>
      </c>
      <c r="B75" s="22" t="s">
        <v>22</v>
      </c>
      <c r="C75" s="63">
        <v>4.3499999999999996</v>
      </c>
      <c r="D75" s="63">
        <f>C75*12*B8</f>
        <v>90118.080000000002</v>
      </c>
    </row>
    <row r="76" spans="1:4" ht="18" customHeight="1">
      <c r="A76" s="6" t="s">
        <v>153</v>
      </c>
      <c r="B76" s="22"/>
      <c r="C76" s="63"/>
      <c r="D76" s="63">
        <f>-15.13*12*57.8</f>
        <v>-10494.168</v>
      </c>
    </row>
    <row r="77" spans="1:4">
      <c r="A77" s="65" t="s">
        <v>56</v>
      </c>
      <c r="B77" s="23"/>
      <c r="C77" s="28">
        <f>C75+C72+C69+C62+C49+C45+C38+C31+C27+C20+C17+C16+C13</f>
        <v>21.615644114921221</v>
      </c>
      <c r="D77" s="28">
        <f>D75+D72+D69+D62+D49+D45+D38+D31+D27+D20+D17+D16+D13+D76</f>
        <v>434369.71799999999</v>
      </c>
    </row>
    <row r="79" spans="1:4">
      <c r="D79" s="40"/>
    </row>
    <row r="80" spans="1:4">
      <c r="D80" s="40"/>
    </row>
    <row r="81" spans="4:4">
      <c r="D81" s="40"/>
    </row>
    <row r="82" spans="4:4">
      <c r="D82" s="40"/>
    </row>
  </sheetData>
  <mergeCells count="34">
    <mergeCell ref="A48:D48"/>
    <mergeCell ref="A71:D71"/>
    <mergeCell ref="C72:C74"/>
    <mergeCell ref="D72:D74"/>
    <mergeCell ref="A61:D61"/>
    <mergeCell ref="C62:C67"/>
    <mergeCell ref="D62:D67"/>
    <mergeCell ref="A68:D68"/>
    <mergeCell ref="A69:A70"/>
    <mergeCell ref="B69:B70"/>
    <mergeCell ref="C69:C70"/>
    <mergeCell ref="D69:D70"/>
    <mergeCell ref="C49:C60"/>
    <mergeCell ref="D49:D60"/>
    <mergeCell ref="A37:D37"/>
    <mergeCell ref="A12:D12"/>
    <mergeCell ref="A18:D18"/>
    <mergeCell ref="C20:C25"/>
    <mergeCell ref="D20:D25"/>
    <mergeCell ref="A26:D26"/>
    <mergeCell ref="D13:D14"/>
    <mergeCell ref="B13:B14"/>
    <mergeCell ref="C13:C14"/>
    <mergeCell ref="C27:C28"/>
    <mergeCell ref="D27:D28"/>
    <mergeCell ref="A29:D29"/>
    <mergeCell ref="A30:D30"/>
    <mergeCell ref="C31:C36"/>
    <mergeCell ref="D31:D36"/>
    <mergeCell ref="A44:D44"/>
    <mergeCell ref="C45:C47"/>
    <mergeCell ref="D45:D47"/>
    <mergeCell ref="C38:C43"/>
    <mergeCell ref="D38:D4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E82"/>
  <sheetViews>
    <sheetView topLeftCell="A61" workbookViewId="0">
      <selection activeCell="A79" sqref="A79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  <col min="5" max="5" width="9.140625" hidden="1" customWidth="1"/>
  </cols>
  <sheetData>
    <row r="1" spans="1:5">
      <c r="A1" s="1" t="s">
        <v>0</v>
      </c>
      <c r="B1" s="2"/>
      <c r="C1" s="2"/>
      <c r="D1" s="2" t="s">
        <v>64</v>
      </c>
    </row>
    <row r="2" spans="1:5">
      <c r="A2" s="1" t="s">
        <v>147</v>
      </c>
      <c r="B2" s="2"/>
      <c r="C2" s="2"/>
      <c r="D2" s="2"/>
    </row>
    <row r="3" spans="1:5">
      <c r="A3" s="1" t="s">
        <v>268</v>
      </c>
      <c r="B3" s="2"/>
      <c r="C3" s="2"/>
      <c r="D3" s="2"/>
    </row>
    <row r="4" spans="1:5">
      <c r="A4" s="25" t="s">
        <v>58</v>
      </c>
      <c r="B4" s="2">
        <v>1990</v>
      </c>
      <c r="C4" s="2"/>
      <c r="D4" s="2"/>
    </row>
    <row r="5" spans="1:5">
      <c r="A5" s="25" t="s">
        <v>59</v>
      </c>
      <c r="B5" s="2">
        <v>4</v>
      </c>
      <c r="C5" s="2"/>
      <c r="D5" s="2"/>
    </row>
    <row r="6" spans="1:5">
      <c r="A6" s="25" t="s">
        <v>60</v>
      </c>
      <c r="B6" s="2">
        <v>3</v>
      </c>
      <c r="C6" s="2"/>
      <c r="D6" s="2"/>
    </row>
    <row r="7" spans="1:5">
      <c r="A7" s="25" t="s">
        <v>61</v>
      </c>
      <c r="B7" s="2">
        <v>36</v>
      </c>
      <c r="C7" s="2"/>
      <c r="D7" s="2"/>
    </row>
    <row r="8" spans="1:5">
      <c r="A8" s="25" t="s">
        <v>72</v>
      </c>
      <c r="B8" s="2">
        <v>1698.1</v>
      </c>
      <c r="C8" s="2"/>
      <c r="D8" s="2"/>
      <c r="E8">
        <f>B10+B8</f>
        <v>1830.6999999999998</v>
      </c>
    </row>
    <row r="9" spans="1:5">
      <c r="A9" s="25" t="s">
        <v>62</v>
      </c>
      <c r="B9" s="2">
        <v>176.4</v>
      </c>
      <c r="C9" s="2"/>
      <c r="D9" s="2"/>
    </row>
    <row r="10" spans="1:5">
      <c r="A10" s="25" t="s">
        <v>392</v>
      </c>
      <c r="B10" s="2">
        <v>132.6</v>
      </c>
      <c r="C10" s="2"/>
      <c r="D10" s="2"/>
    </row>
    <row r="11" spans="1:5">
      <c r="A11" s="25" t="s">
        <v>73</v>
      </c>
      <c r="B11" s="2">
        <v>445.2</v>
      </c>
      <c r="C11" s="2"/>
      <c r="D11" s="2"/>
    </row>
    <row r="12" spans="1:5" ht="36.75">
      <c r="A12" s="62" t="s">
        <v>1</v>
      </c>
      <c r="B12" s="62" t="s">
        <v>2</v>
      </c>
      <c r="C12" s="62" t="s">
        <v>3</v>
      </c>
      <c r="D12" s="62" t="s">
        <v>4</v>
      </c>
    </row>
    <row r="13" spans="1:5">
      <c r="A13" s="157" t="s">
        <v>5</v>
      </c>
      <c r="B13" s="158"/>
      <c r="C13" s="158"/>
      <c r="D13" s="159"/>
    </row>
    <row r="14" spans="1:5" ht="88.5" customHeight="1">
      <c r="A14" s="104" t="s">
        <v>6</v>
      </c>
      <c r="B14" s="160" t="s">
        <v>8</v>
      </c>
      <c r="C14" s="153">
        <v>1.02</v>
      </c>
      <c r="D14" s="163">
        <f>C14*12*E8</f>
        <v>22407.767999999996</v>
      </c>
    </row>
    <row r="15" spans="1:5" ht="75.75" customHeight="1">
      <c r="A15" s="103" t="s">
        <v>89</v>
      </c>
      <c r="B15" s="161"/>
      <c r="C15" s="162"/>
      <c r="D15" s="164"/>
    </row>
    <row r="16" spans="1:5">
      <c r="A16" s="103" t="s">
        <v>9</v>
      </c>
      <c r="B16" s="128"/>
      <c r="C16" s="26"/>
      <c r="D16" s="30"/>
    </row>
    <row r="17" spans="1:4">
      <c r="A17" s="103" t="s">
        <v>322</v>
      </c>
      <c r="B17" s="128" t="s">
        <v>24</v>
      </c>
      <c r="C17" s="26">
        <v>0.49</v>
      </c>
      <c r="D17" s="30">
        <f>C17*12*E8</f>
        <v>10764.516</v>
      </c>
    </row>
    <row r="18" spans="1:4">
      <c r="A18" s="165" t="s">
        <v>10</v>
      </c>
      <c r="B18" s="165"/>
      <c r="C18" s="165"/>
      <c r="D18" s="165"/>
    </row>
    <row r="19" spans="1:4" ht="13.5" customHeight="1">
      <c r="A19" s="39" t="s">
        <v>97</v>
      </c>
      <c r="B19" s="60"/>
      <c r="C19" s="60"/>
      <c r="D19" s="60"/>
    </row>
    <row r="20" spans="1:4" ht="13.5" customHeight="1">
      <c r="A20" s="6" t="s">
        <v>11</v>
      </c>
      <c r="B20" s="62" t="s">
        <v>75</v>
      </c>
      <c r="C20" s="152">
        <v>2.16</v>
      </c>
      <c r="D20" s="166">
        <f>C20*E8*12</f>
        <v>47451.743999999999</v>
      </c>
    </row>
    <row r="21" spans="1:4" ht="12.75" customHeight="1">
      <c r="A21" s="6" t="s">
        <v>12</v>
      </c>
      <c r="B21" s="62" t="s">
        <v>75</v>
      </c>
      <c r="C21" s="152"/>
      <c r="D21" s="155"/>
    </row>
    <row r="22" spans="1:4" ht="14.25" customHeight="1">
      <c r="A22" s="6" t="s">
        <v>13</v>
      </c>
      <c r="B22" s="62" t="s">
        <v>75</v>
      </c>
      <c r="C22" s="152"/>
      <c r="D22" s="155"/>
    </row>
    <row r="23" spans="1:4" ht="13.5" customHeight="1">
      <c r="A23" s="6" t="s">
        <v>14</v>
      </c>
      <c r="B23" s="62" t="s">
        <v>76</v>
      </c>
      <c r="C23" s="152"/>
      <c r="D23" s="155"/>
    </row>
    <row r="24" spans="1:4" ht="12.75" customHeight="1">
      <c r="A24" s="39" t="s">
        <v>93</v>
      </c>
      <c r="B24" s="62"/>
      <c r="C24" s="152"/>
      <c r="D24" s="155"/>
    </row>
    <row r="25" spans="1:4" ht="30" customHeight="1">
      <c r="A25" s="6" t="s">
        <v>15</v>
      </c>
      <c r="B25" s="62" t="s">
        <v>94</v>
      </c>
      <c r="C25" s="152"/>
      <c r="D25" s="156"/>
    </row>
    <row r="26" spans="1:4" ht="12.75" customHeight="1">
      <c r="A26" s="157" t="s">
        <v>16</v>
      </c>
      <c r="B26" s="158"/>
      <c r="C26" s="158"/>
      <c r="D26" s="159"/>
    </row>
    <row r="27" spans="1:4" ht="12" customHeight="1">
      <c r="A27" s="7" t="s">
        <v>17</v>
      </c>
      <c r="B27" s="21" t="s">
        <v>78</v>
      </c>
      <c r="C27" s="152">
        <v>0.2</v>
      </c>
      <c r="D27" s="167">
        <f>C27*E8*12</f>
        <v>4393.68</v>
      </c>
    </row>
    <row r="28" spans="1:4" ht="12" customHeight="1">
      <c r="A28" s="7" t="s">
        <v>18</v>
      </c>
      <c r="B28" s="21" t="s">
        <v>77</v>
      </c>
      <c r="C28" s="152"/>
      <c r="D28" s="167"/>
    </row>
    <row r="29" spans="1:4" ht="13.5" customHeight="1">
      <c r="A29" s="157" t="s">
        <v>19</v>
      </c>
      <c r="B29" s="158"/>
      <c r="C29" s="158"/>
      <c r="D29" s="159"/>
    </row>
    <row r="30" spans="1:4">
      <c r="A30" s="167" t="s">
        <v>20</v>
      </c>
      <c r="B30" s="167"/>
      <c r="C30" s="167"/>
      <c r="D30" s="167"/>
    </row>
    <row r="31" spans="1:4" ht="37.5" customHeight="1">
      <c r="A31" s="8" t="s">
        <v>21</v>
      </c>
      <c r="B31" s="22" t="s">
        <v>79</v>
      </c>
      <c r="C31" s="152">
        <v>0.79</v>
      </c>
      <c r="D31" s="154">
        <f>C31*E8*12</f>
        <v>17355.036</v>
      </c>
    </row>
    <row r="32" spans="1:4" ht="15" customHeight="1">
      <c r="A32" s="9" t="s">
        <v>23</v>
      </c>
      <c r="B32" s="23" t="s">
        <v>80</v>
      </c>
      <c r="C32" s="152"/>
      <c r="D32" s="155"/>
    </row>
    <row r="33" spans="1:4" ht="13.5" customHeight="1">
      <c r="A33" s="9" t="s">
        <v>25</v>
      </c>
      <c r="B33" s="23" t="s">
        <v>80</v>
      </c>
      <c r="C33" s="152"/>
      <c r="D33" s="155"/>
    </row>
    <row r="34" spans="1:4" ht="36" customHeight="1">
      <c r="A34" s="9" t="s">
        <v>26</v>
      </c>
      <c r="B34" s="22" t="s">
        <v>22</v>
      </c>
      <c r="C34" s="152"/>
      <c r="D34" s="155"/>
    </row>
    <row r="35" spans="1:4" ht="14.25" customHeight="1">
      <c r="A35" s="9" t="s">
        <v>27</v>
      </c>
      <c r="B35" s="22" t="s">
        <v>24</v>
      </c>
      <c r="C35" s="152"/>
      <c r="D35" s="155"/>
    </row>
    <row r="36" spans="1:4" ht="33.75" customHeight="1">
      <c r="A36" s="24" t="s">
        <v>28</v>
      </c>
      <c r="B36" s="22" t="s">
        <v>22</v>
      </c>
      <c r="C36" s="153"/>
      <c r="D36" s="156"/>
    </row>
    <row r="37" spans="1:4" ht="15.75" customHeight="1">
      <c r="A37" s="167" t="s">
        <v>65</v>
      </c>
      <c r="B37" s="167"/>
      <c r="C37" s="167"/>
      <c r="D37" s="167"/>
    </row>
    <row r="38" spans="1:4" ht="36.75" customHeight="1">
      <c r="A38" s="9" t="s">
        <v>66</v>
      </c>
      <c r="B38" s="22" t="s">
        <v>79</v>
      </c>
      <c r="C38" s="154">
        <v>1.29</v>
      </c>
      <c r="D38" s="152">
        <f>C38*E8*12</f>
        <v>28339.235999999997</v>
      </c>
    </row>
    <row r="39" spans="1:4" ht="14.25" customHeight="1">
      <c r="A39" s="9" t="s">
        <v>67</v>
      </c>
      <c r="B39" s="22" t="s">
        <v>80</v>
      </c>
      <c r="C39" s="154"/>
      <c r="D39" s="168"/>
    </row>
    <row r="40" spans="1:4" ht="14.25" customHeight="1">
      <c r="A40" s="9" t="s">
        <v>68</v>
      </c>
      <c r="B40" s="22" t="s">
        <v>80</v>
      </c>
      <c r="C40" s="154"/>
      <c r="D40" s="168"/>
    </row>
    <row r="41" spans="1:4" ht="24" customHeight="1">
      <c r="A41" s="9" t="s">
        <v>69</v>
      </c>
      <c r="B41" s="22" t="s">
        <v>79</v>
      </c>
      <c r="C41" s="154"/>
      <c r="D41" s="168"/>
    </row>
    <row r="42" spans="1:4" ht="25.5" customHeight="1">
      <c r="A42" s="10" t="s">
        <v>70</v>
      </c>
      <c r="B42" s="22" t="s">
        <v>79</v>
      </c>
      <c r="C42" s="154"/>
      <c r="D42" s="168"/>
    </row>
    <row r="43" spans="1:4" ht="14.25" customHeight="1">
      <c r="A43" s="9" t="s">
        <v>71</v>
      </c>
      <c r="B43" s="22" t="s">
        <v>24</v>
      </c>
      <c r="C43" s="154"/>
      <c r="D43" s="162"/>
    </row>
    <row r="44" spans="1:4" ht="11.25" customHeight="1">
      <c r="A44" s="169" t="s">
        <v>29</v>
      </c>
      <c r="B44" s="169"/>
      <c r="C44" s="169"/>
      <c r="D44" s="169"/>
    </row>
    <row r="45" spans="1:4" ht="35.25" customHeight="1">
      <c r="A45" s="9" t="s">
        <v>30</v>
      </c>
      <c r="B45" s="22" t="s">
        <v>22</v>
      </c>
      <c r="C45" s="154">
        <v>1.69</v>
      </c>
      <c r="D45" s="152">
        <f>C45*12*E8</f>
        <v>37126.595999999998</v>
      </c>
    </row>
    <row r="46" spans="1:4" ht="38.25" customHeight="1">
      <c r="A46" s="9" t="s">
        <v>31</v>
      </c>
      <c r="B46" s="22" t="s">
        <v>22</v>
      </c>
      <c r="C46" s="154"/>
      <c r="D46" s="152"/>
    </row>
    <row r="47" spans="1:4" ht="15" customHeight="1">
      <c r="A47" s="10" t="s">
        <v>32</v>
      </c>
      <c r="B47" s="22" t="s">
        <v>22</v>
      </c>
      <c r="C47" s="154"/>
      <c r="D47" s="152"/>
    </row>
    <row r="48" spans="1:4" ht="12.75" customHeight="1">
      <c r="A48" s="167" t="s">
        <v>33</v>
      </c>
      <c r="B48" s="167"/>
      <c r="C48" s="167"/>
      <c r="D48" s="167"/>
    </row>
    <row r="49" spans="1:4" ht="29.25" customHeight="1">
      <c r="A49" s="9" t="s">
        <v>34</v>
      </c>
      <c r="B49" s="22" t="s">
        <v>77</v>
      </c>
      <c r="C49" s="154">
        <v>2.81</v>
      </c>
      <c r="D49" s="154">
        <f>C49*12*E8</f>
        <v>61731.203999999991</v>
      </c>
    </row>
    <row r="50" spans="1:4" ht="14.25" customHeight="1">
      <c r="A50" s="9" t="s">
        <v>35</v>
      </c>
      <c r="B50" s="22" t="s">
        <v>81</v>
      </c>
      <c r="C50" s="154"/>
      <c r="D50" s="154"/>
    </row>
    <row r="51" spans="1:4" ht="17.25" customHeight="1">
      <c r="A51" s="9" t="s">
        <v>36</v>
      </c>
      <c r="B51" s="22" t="s">
        <v>81</v>
      </c>
      <c r="C51" s="154"/>
      <c r="D51" s="154"/>
    </row>
    <row r="52" spans="1:4" ht="24.75" customHeight="1">
      <c r="A52" s="9" t="s">
        <v>37</v>
      </c>
      <c r="B52" s="22" t="s">
        <v>82</v>
      </c>
      <c r="C52" s="154"/>
      <c r="D52" s="154"/>
    </row>
    <row r="53" spans="1:4" ht="30" customHeight="1">
      <c r="A53" s="9" t="s">
        <v>38</v>
      </c>
      <c r="B53" s="22" t="s">
        <v>82</v>
      </c>
      <c r="C53" s="154"/>
      <c r="D53" s="154"/>
    </row>
    <row r="54" spans="1:4" ht="12.75" customHeight="1">
      <c r="A54" s="60" t="s">
        <v>95</v>
      </c>
      <c r="B54" s="6"/>
      <c r="C54" s="154"/>
      <c r="D54" s="154"/>
    </row>
    <row r="55" spans="1:4" ht="35.25" customHeight="1">
      <c r="A55" s="9" t="s">
        <v>40</v>
      </c>
      <c r="B55" s="22" t="s">
        <v>79</v>
      </c>
      <c r="C55" s="154"/>
      <c r="D55" s="154"/>
    </row>
    <row r="56" spans="1:4" ht="14.25" customHeight="1">
      <c r="A56" s="9" t="s">
        <v>41</v>
      </c>
      <c r="B56" s="22" t="s">
        <v>24</v>
      </c>
      <c r="C56" s="154"/>
      <c r="D56" s="154"/>
    </row>
    <row r="57" spans="1:4" ht="14.25" customHeight="1">
      <c r="A57" s="9" t="s">
        <v>42</v>
      </c>
      <c r="B57" s="23" t="s">
        <v>24</v>
      </c>
      <c r="C57" s="154"/>
      <c r="D57" s="154"/>
    </row>
    <row r="58" spans="1:4" ht="13.5" customHeight="1">
      <c r="A58" s="9" t="s">
        <v>43</v>
      </c>
      <c r="B58" s="23" t="s">
        <v>24</v>
      </c>
      <c r="C58" s="154"/>
      <c r="D58" s="154"/>
    </row>
    <row r="59" spans="1:4" ht="13.5" customHeight="1">
      <c r="A59" s="9" t="s">
        <v>44</v>
      </c>
      <c r="B59" s="21" t="s">
        <v>148</v>
      </c>
      <c r="C59" s="154"/>
      <c r="D59" s="154"/>
    </row>
    <row r="60" spans="1:4" ht="36.75" customHeight="1">
      <c r="A60" s="10" t="s">
        <v>45</v>
      </c>
      <c r="B60" s="22" t="s">
        <v>22</v>
      </c>
      <c r="C60" s="154"/>
      <c r="D60" s="154"/>
    </row>
    <row r="61" spans="1:4">
      <c r="A61" s="167" t="s">
        <v>46</v>
      </c>
      <c r="B61" s="167"/>
      <c r="C61" s="167"/>
      <c r="D61" s="167"/>
    </row>
    <row r="62" spans="1:4" ht="15.75" customHeight="1">
      <c r="A62" s="9" t="s">
        <v>47</v>
      </c>
      <c r="B62" s="22" t="s">
        <v>83</v>
      </c>
      <c r="C62" s="152">
        <v>2.27</v>
      </c>
      <c r="D62" s="154">
        <f>C62*E8*12+20.96+4838.89</f>
        <v>54728.117999999995</v>
      </c>
    </row>
    <row r="63" spans="1:4" ht="12.75" customHeight="1">
      <c r="A63" s="9" t="s">
        <v>48</v>
      </c>
      <c r="B63" s="22" t="s">
        <v>83</v>
      </c>
      <c r="C63" s="152"/>
      <c r="D63" s="154"/>
    </row>
    <row r="64" spans="1:4" ht="25.5" customHeight="1">
      <c r="A64" s="9" t="s">
        <v>49</v>
      </c>
      <c r="B64" s="22" t="s">
        <v>83</v>
      </c>
      <c r="C64" s="152"/>
      <c r="D64" s="154"/>
    </row>
    <row r="65" spans="1:4" ht="16.5" customHeight="1">
      <c r="A65" s="9" t="s">
        <v>50</v>
      </c>
      <c r="B65" s="22" t="s">
        <v>83</v>
      </c>
      <c r="C65" s="152"/>
      <c r="D65" s="154"/>
    </row>
    <row r="66" spans="1:4" ht="39.75" customHeight="1">
      <c r="A66" s="10" t="s">
        <v>51</v>
      </c>
      <c r="B66" s="22" t="s">
        <v>22</v>
      </c>
      <c r="C66" s="152"/>
      <c r="D66" s="154"/>
    </row>
    <row r="67" spans="1:4" ht="16.5" customHeight="1">
      <c r="A67" s="10" t="s">
        <v>52</v>
      </c>
      <c r="B67" s="23" t="s">
        <v>84</v>
      </c>
      <c r="C67" s="152"/>
      <c r="D67" s="154"/>
    </row>
    <row r="68" spans="1:4">
      <c r="A68" s="157" t="s">
        <v>85</v>
      </c>
      <c r="B68" s="158"/>
      <c r="C68" s="158"/>
      <c r="D68" s="159"/>
    </row>
    <row r="69" spans="1:4" ht="26.25" customHeight="1">
      <c r="A69" s="175" t="s">
        <v>96</v>
      </c>
      <c r="B69" s="177" t="s">
        <v>86</v>
      </c>
      <c r="C69" s="152">
        <v>2.41</v>
      </c>
      <c r="D69" s="154">
        <f>C69*E8*12</f>
        <v>52943.843999999997</v>
      </c>
    </row>
    <row r="70" spans="1:4" ht="13.5" customHeight="1">
      <c r="A70" s="176"/>
      <c r="B70" s="177"/>
      <c r="C70" s="152"/>
      <c r="D70" s="154"/>
    </row>
    <row r="71" spans="1:4" ht="15" customHeight="1">
      <c r="A71" s="157" t="s">
        <v>55</v>
      </c>
      <c r="B71" s="158"/>
      <c r="C71" s="158"/>
      <c r="D71" s="159"/>
    </row>
    <row r="72" spans="1:4" ht="16.5" customHeight="1">
      <c r="A72" s="6" t="s">
        <v>90</v>
      </c>
      <c r="B72" s="21" t="s">
        <v>87</v>
      </c>
      <c r="C72" s="170">
        <v>2.14</v>
      </c>
      <c r="D72" s="172">
        <f>3633.94+39975.49+C72*12*70.4</f>
        <v>45417.302000000003</v>
      </c>
    </row>
    <row r="73" spans="1:4">
      <c r="A73" s="6" t="s">
        <v>91</v>
      </c>
      <c r="B73" s="21" t="s">
        <v>87</v>
      </c>
      <c r="C73" s="171"/>
      <c r="D73" s="173"/>
    </row>
    <row r="74" spans="1:4" ht="15" customHeight="1">
      <c r="A74" s="6" t="s">
        <v>92</v>
      </c>
      <c r="B74" s="21" t="s">
        <v>87</v>
      </c>
      <c r="C74" s="169"/>
      <c r="D74" s="174"/>
    </row>
    <row r="75" spans="1:4" ht="38.25" customHeight="1">
      <c r="A75" s="6" t="s">
        <v>143</v>
      </c>
      <c r="B75" s="22" t="s">
        <v>22</v>
      </c>
      <c r="C75" s="61">
        <v>4.3499999999999996</v>
      </c>
      <c r="D75" s="61">
        <f>88646.07+4.35*12*70.4</f>
        <v>92320.950000000012</v>
      </c>
    </row>
    <row r="76" spans="1:4">
      <c r="A76" s="60" t="s">
        <v>56</v>
      </c>
      <c r="B76" s="23"/>
      <c r="C76" s="28">
        <f>C75+C72+C69+C62+C49+C45+C38+C31+C27+C20+C17+C14</f>
        <v>21.619999999999997</v>
      </c>
      <c r="D76" s="28">
        <f>D75+D72+D69+D62+D49+D45+D38+D31+D27+D20+D17+D14</f>
        <v>474979.99400000001</v>
      </c>
    </row>
    <row r="78" spans="1:4">
      <c r="D78" s="40"/>
    </row>
    <row r="79" spans="1:4">
      <c r="D79" s="40"/>
    </row>
    <row r="80" spans="1:4">
      <c r="D80" s="40"/>
    </row>
    <row r="81" spans="4:4">
      <c r="D81" s="40"/>
    </row>
    <row r="82" spans="4:4">
      <c r="D82" s="40"/>
    </row>
  </sheetData>
  <mergeCells count="34">
    <mergeCell ref="A13:D13"/>
    <mergeCell ref="A18:D18"/>
    <mergeCell ref="C20:C25"/>
    <mergeCell ref="D20:D25"/>
    <mergeCell ref="A26:D26"/>
    <mergeCell ref="B14:B15"/>
    <mergeCell ref="C14:C15"/>
    <mergeCell ref="A44:D44"/>
    <mergeCell ref="C45:C47"/>
    <mergeCell ref="D45:D47"/>
    <mergeCell ref="A48:D48"/>
    <mergeCell ref="D14:D15"/>
    <mergeCell ref="C38:C43"/>
    <mergeCell ref="D38:D43"/>
    <mergeCell ref="C27:C28"/>
    <mergeCell ref="D27:D28"/>
    <mergeCell ref="A29:D29"/>
    <mergeCell ref="A30:D30"/>
    <mergeCell ref="C31:C36"/>
    <mergeCell ref="D31:D36"/>
    <mergeCell ref="A37:D37"/>
    <mergeCell ref="C49:C60"/>
    <mergeCell ref="D49:D60"/>
    <mergeCell ref="A71:D71"/>
    <mergeCell ref="C72:C74"/>
    <mergeCell ref="D72:D74"/>
    <mergeCell ref="A61:D61"/>
    <mergeCell ref="C62:C67"/>
    <mergeCell ref="D62:D67"/>
    <mergeCell ref="A68:D68"/>
    <mergeCell ref="A69:A70"/>
    <mergeCell ref="B69:B70"/>
    <mergeCell ref="C69:C70"/>
    <mergeCell ref="D69:D7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80"/>
  <sheetViews>
    <sheetView topLeftCell="A37" workbookViewId="0">
      <selection activeCell="A13" sqref="A13:D14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145</v>
      </c>
      <c r="B2" s="2"/>
      <c r="C2" s="2"/>
      <c r="D2" s="2"/>
    </row>
    <row r="3" spans="1:4">
      <c r="A3" s="1" t="s">
        <v>268</v>
      </c>
      <c r="B3" s="2"/>
      <c r="C3" s="2"/>
      <c r="D3" s="2"/>
    </row>
    <row r="4" spans="1:4">
      <c r="A4" s="25" t="s">
        <v>58</v>
      </c>
      <c r="B4" s="2">
        <v>1992</v>
      </c>
      <c r="C4" s="2"/>
      <c r="D4" s="2"/>
    </row>
    <row r="5" spans="1:4">
      <c r="A5" s="25" t="s">
        <v>59</v>
      </c>
      <c r="B5" s="2">
        <v>4</v>
      </c>
      <c r="C5" s="2"/>
      <c r="D5" s="2"/>
    </row>
    <row r="6" spans="1:4">
      <c r="A6" s="25" t="s">
        <v>60</v>
      </c>
      <c r="B6" s="2">
        <v>3</v>
      </c>
      <c r="C6" s="2"/>
      <c r="D6" s="2"/>
    </row>
    <row r="7" spans="1:4">
      <c r="A7" s="25" t="s">
        <v>61</v>
      </c>
      <c r="B7" s="2">
        <v>36</v>
      </c>
      <c r="C7" s="2"/>
      <c r="D7" s="2"/>
    </row>
    <row r="8" spans="1:4">
      <c r="A8" s="25" t="s">
        <v>72</v>
      </c>
      <c r="B8" s="2">
        <v>1711.7</v>
      </c>
      <c r="C8" s="2"/>
      <c r="D8" s="2"/>
    </row>
    <row r="9" spans="1:4">
      <c r="A9" s="25" t="s">
        <v>62</v>
      </c>
      <c r="B9" s="2">
        <v>173.7</v>
      </c>
      <c r="C9" s="2"/>
      <c r="D9" s="2"/>
    </row>
    <row r="10" spans="1:4">
      <c r="A10" s="25" t="s">
        <v>73</v>
      </c>
      <c r="B10" s="2">
        <v>447.7</v>
      </c>
      <c r="C10" s="2"/>
      <c r="D10" s="2"/>
    </row>
    <row r="11" spans="1:4" ht="36.75">
      <c r="A11" s="62" t="s">
        <v>1</v>
      </c>
      <c r="B11" s="62" t="s">
        <v>2</v>
      </c>
      <c r="C11" s="62" t="s">
        <v>3</v>
      </c>
      <c r="D11" s="62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1.02</v>
      </c>
      <c r="D13" s="163">
        <f>C13*12*B8</f>
        <v>20951.208000000002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103" t="s">
        <v>9</v>
      </c>
      <c r="B15" s="127"/>
      <c r="C15" s="26"/>
      <c r="D15" s="30"/>
    </row>
    <row r="16" spans="1:4">
      <c r="A16" s="103" t="s">
        <v>321</v>
      </c>
      <c r="B16" s="127" t="s">
        <v>24</v>
      </c>
      <c r="C16" s="26">
        <v>1.28</v>
      </c>
      <c r="D16" s="30">
        <f>C16*12*B8</f>
        <v>26291.712</v>
      </c>
    </row>
    <row r="17" spans="1:4">
      <c r="A17" s="165" t="s">
        <v>10</v>
      </c>
      <c r="B17" s="165"/>
      <c r="C17" s="165"/>
      <c r="D17" s="165"/>
    </row>
    <row r="18" spans="1:4" ht="13.5" customHeight="1">
      <c r="A18" s="39" t="s">
        <v>97</v>
      </c>
      <c r="B18" s="60"/>
      <c r="C18" s="60"/>
      <c r="D18" s="60"/>
    </row>
    <row r="19" spans="1:4" ht="13.5" customHeight="1">
      <c r="A19" s="6" t="s">
        <v>11</v>
      </c>
      <c r="B19" s="62" t="s">
        <v>75</v>
      </c>
      <c r="C19" s="152">
        <v>2.16</v>
      </c>
      <c r="D19" s="166">
        <f>C19*B8*12</f>
        <v>44367.264000000003</v>
      </c>
    </row>
    <row r="20" spans="1:4" ht="12.75" customHeight="1">
      <c r="A20" s="6" t="s">
        <v>12</v>
      </c>
      <c r="B20" s="62" t="s">
        <v>75</v>
      </c>
      <c r="C20" s="152"/>
      <c r="D20" s="155"/>
    </row>
    <row r="21" spans="1:4" ht="14.25" customHeight="1">
      <c r="A21" s="6" t="s">
        <v>13</v>
      </c>
      <c r="B21" s="62" t="s">
        <v>75</v>
      </c>
      <c r="C21" s="152"/>
      <c r="D21" s="155"/>
    </row>
    <row r="22" spans="1:4" ht="13.5" customHeight="1">
      <c r="A22" s="6" t="s">
        <v>14</v>
      </c>
      <c r="B22" s="62" t="s">
        <v>76</v>
      </c>
      <c r="C22" s="152"/>
      <c r="D22" s="155"/>
    </row>
    <row r="23" spans="1:4" ht="12.75" customHeight="1">
      <c r="A23" s="39" t="s">
        <v>93</v>
      </c>
      <c r="B23" s="62"/>
      <c r="C23" s="152"/>
      <c r="D23" s="155"/>
    </row>
    <row r="24" spans="1:4" ht="30" customHeight="1">
      <c r="A24" s="6" t="s">
        <v>15</v>
      </c>
      <c r="B24" s="62" t="s">
        <v>94</v>
      </c>
      <c r="C24" s="152"/>
      <c r="D24" s="156"/>
    </row>
    <row r="25" spans="1:4" ht="12.75" customHeight="1">
      <c r="A25" s="157" t="s">
        <v>16</v>
      </c>
      <c r="B25" s="158"/>
      <c r="C25" s="158"/>
      <c r="D25" s="159"/>
    </row>
    <row r="26" spans="1:4" ht="12" customHeight="1">
      <c r="A26" s="7" t="s">
        <v>17</v>
      </c>
      <c r="B26" s="21" t="s">
        <v>78</v>
      </c>
      <c r="C26" s="152">
        <v>0.2</v>
      </c>
      <c r="D26" s="167">
        <f>C26*B8*12</f>
        <v>4108.08</v>
      </c>
    </row>
    <row r="27" spans="1:4" ht="12" customHeight="1">
      <c r="A27" s="7" t="s">
        <v>18</v>
      </c>
      <c r="B27" s="21" t="s">
        <v>77</v>
      </c>
      <c r="C27" s="152"/>
      <c r="D27" s="167"/>
    </row>
    <row r="28" spans="1:4" ht="13.5" customHeight="1">
      <c r="A28" s="157" t="s">
        <v>19</v>
      </c>
      <c r="B28" s="158"/>
      <c r="C28" s="158"/>
      <c r="D28" s="159"/>
    </row>
    <row r="29" spans="1:4">
      <c r="A29" s="167" t="s">
        <v>20</v>
      </c>
      <c r="B29" s="167"/>
      <c r="C29" s="167"/>
      <c r="D29" s="167"/>
    </row>
    <row r="30" spans="1:4" ht="37.5" customHeight="1">
      <c r="A30" s="8" t="s">
        <v>21</v>
      </c>
      <c r="B30" s="22" t="s">
        <v>79</v>
      </c>
      <c r="C30" s="152">
        <v>0.79</v>
      </c>
      <c r="D30" s="154">
        <f>C30*B8*12</f>
        <v>16226.916000000001</v>
      </c>
    </row>
    <row r="31" spans="1:4" ht="15" customHeight="1">
      <c r="A31" s="9" t="s">
        <v>23</v>
      </c>
      <c r="B31" s="23" t="s">
        <v>80</v>
      </c>
      <c r="C31" s="152"/>
      <c r="D31" s="155"/>
    </row>
    <row r="32" spans="1:4" ht="13.5" customHeight="1">
      <c r="A32" s="9" t="s">
        <v>25</v>
      </c>
      <c r="B32" s="23" t="s">
        <v>80</v>
      </c>
      <c r="C32" s="152"/>
      <c r="D32" s="155"/>
    </row>
    <row r="33" spans="1:4" ht="36" customHeight="1">
      <c r="A33" s="9" t="s">
        <v>26</v>
      </c>
      <c r="B33" s="22" t="s">
        <v>22</v>
      </c>
      <c r="C33" s="152"/>
      <c r="D33" s="155"/>
    </row>
    <row r="34" spans="1:4" ht="14.25" customHeight="1">
      <c r="A34" s="9" t="s">
        <v>27</v>
      </c>
      <c r="B34" s="22" t="s">
        <v>24</v>
      </c>
      <c r="C34" s="152"/>
      <c r="D34" s="155"/>
    </row>
    <row r="35" spans="1:4" ht="33.75" customHeight="1">
      <c r="A35" s="24" t="s">
        <v>28</v>
      </c>
      <c r="B35" s="22" t="s">
        <v>22</v>
      </c>
      <c r="C35" s="153"/>
      <c r="D35" s="156"/>
    </row>
    <row r="36" spans="1:4" ht="15.75" customHeight="1">
      <c r="A36" s="167" t="s">
        <v>65</v>
      </c>
      <c r="B36" s="167"/>
      <c r="C36" s="167"/>
      <c r="D36" s="167"/>
    </row>
    <row r="37" spans="1:4" ht="36.75" customHeight="1">
      <c r="A37" s="9" t="s">
        <v>66</v>
      </c>
      <c r="B37" s="22" t="s">
        <v>79</v>
      </c>
      <c r="C37" s="154">
        <v>1.29</v>
      </c>
      <c r="D37" s="152">
        <f>C37*B8*12</f>
        <v>26497.116000000002</v>
      </c>
    </row>
    <row r="38" spans="1:4" ht="14.25" customHeight="1">
      <c r="A38" s="9" t="s">
        <v>67</v>
      </c>
      <c r="B38" s="22" t="s">
        <v>80</v>
      </c>
      <c r="C38" s="154"/>
      <c r="D38" s="168"/>
    </row>
    <row r="39" spans="1:4" ht="14.25" customHeight="1">
      <c r="A39" s="9" t="s">
        <v>68</v>
      </c>
      <c r="B39" s="22" t="s">
        <v>80</v>
      </c>
      <c r="C39" s="154"/>
      <c r="D39" s="168"/>
    </row>
    <row r="40" spans="1:4" ht="24" customHeight="1">
      <c r="A40" s="9" t="s">
        <v>69</v>
      </c>
      <c r="B40" s="22" t="s">
        <v>79</v>
      </c>
      <c r="C40" s="154"/>
      <c r="D40" s="168"/>
    </row>
    <row r="41" spans="1:4" ht="25.5" customHeight="1">
      <c r="A41" s="10" t="s">
        <v>70</v>
      </c>
      <c r="B41" s="22" t="s">
        <v>79</v>
      </c>
      <c r="C41" s="154"/>
      <c r="D41" s="168"/>
    </row>
    <row r="42" spans="1:4" ht="14.25" customHeight="1">
      <c r="A42" s="9" t="s">
        <v>71</v>
      </c>
      <c r="B42" s="22" t="s">
        <v>24</v>
      </c>
      <c r="C42" s="154"/>
      <c r="D42" s="162"/>
    </row>
    <row r="43" spans="1:4" ht="11.25" customHeight="1">
      <c r="A43" s="169" t="s">
        <v>29</v>
      </c>
      <c r="B43" s="169"/>
      <c r="C43" s="169"/>
      <c r="D43" s="169"/>
    </row>
    <row r="44" spans="1:4" ht="35.25" customHeight="1">
      <c r="A44" s="9" t="s">
        <v>30</v>
      </c>
      <c r="B44" s="22" t="s">
        <v>22</v>
      </c>
      <c r="C44" s="154">
        <v>0.91</v>
      </c>
      <c r="D44" s="152">
        <f>C44*12*B8</f>
        <v>18691.763999999999</v>
      </c>
    </row>
    <row r="45" spans="1:4" ht="38.25" customHeight="1">
      <c r="A45" s="9" t="s">
        <v>31</v>
      </c>
      <c r="B45" s="22" t="s">
        <v>22</v>
      </c>
      <c r="C45" s="154"/>
      <c r="D45" s="152"/>
    </row>
    <row r="46" spans="1:4" ht="15" customHeight="1">
      <c r="A46" s="10" t="s">
        <v>32</v>
      </c>
      <c r="B46" s="22" t="s">
        <v>22</v>
      </c>
      <c r="C46" s="154"/>
      <c r="D46" s="152"/>
    </row>
    <row r="47" spans="1:4" ht="12.75" customHeight="1">
      <c r="A47" s="167" t="s">
        <v>33</v>
      </c>
      <c r="B47" s="167"/>
      <c r="C47" s="167"/>
      <c r="D47" s="167"/>
    </row>
    <row r="48" spans="1:4" ht="29.25" customHeight="1">
      <c r="A48" s="9" t="s">
        <v>34</v>
      </c>
      <c r="B48" s="22" t="s">
        <v>77</v>
      </c>
      <c r="C48" s="154">
        <v>2.8</v>
      </c>
      <c r="D48" s="154">
        <f>C48*12*B8-489.91</f>
        <v>57023.209999999992</v>
      </c>
    </row>
    <row r="49" spans="1:4" ht="14.25" customHeight="1">
      <c r="A49" s="9" t="s">
        <v>35</v>
      </c>
      <c r="B49" s="22" t="s">
        <v>81</v>
      </c>
      <c r="C49" s="154"/>
      <c r="D49" s="154"/>
    </row>
    <row r="50" spans="1:4" ht="17.25" customHeight="1">
      <c r="A50" s="9" t="s">
        <v>36</v>
      </c>
      <c r="B50" s="22" t="s">
        <v>81</v>
      </c>
      <c r="C50" s="154"/>
      <c r="D50" s="154"/>
    </row>
    <row r="51" spans="1:4" ht="24.75" customHeight="1">
      <c r="A51" s="9" t="s">
        <v>37</v>
      </c>
      <c r="B51" s="22" t="s">
        <v>82</v>
      </c>
      <c r="C51" s="154"/>
      <c r="D51" s="154"/>
    </row>
    <row r="52" spans="1:4" ht="30" customHeight="1">
      <c r="A52" s="9" t="s">
        <v>38</v>
      </c>
      <c r="B52" s="22" t="s">
        <v>82</v>
      </c>
      <c r="C52" s="154"/>
      <c r="D52" s="154"/>
    </row>
    <row r="53" spans="1:4" ht="12.75" customHeight="1">
      <c r="A53" s="60" t="s">
        <v>95</v>
      </c>
      <c r="B53" s="6"/>
      <c r="C53" s="154"/>
      <c r="D53" s="154"/>
    </row>
    <row r="54" spans="1:4" ht="35.25" customHeight="1">
      <c r="A54" s="9" t="s">
        <v>40</v>
      </c>
      <c r="B54" s="22" t="s">
        <v>79</v>
      </c>
      <c r="C54" s="154"/>
      <c r="D54" s="154"/>
    </row>
    <row r="55" spans="1:4" ht="14.25" customHeight="1">
      <c r="A55" s="9" t="s">
        <v>41</v>
      </c>
      <c r="B55" s="22" t="s">
        <v>24</v>
      </c>
      <c r="C55" s="154"/>
      <c r="D55" s="154"/>
    </row>
    <row r="56" spans="1:4" ht="14.25" customHeight="1">
      <c r="A56" s="9" t="s">
        <v>42</v>
      </c>
      <c r="B56" s="23" t="s">
        <v>24</v>
      </c>
      <c r="C56" s="154"/>
      <c r="D56" s="154"/>
    </row>
    <row r="57" spans="1:4" ht="13.5" customHeight="1">
      <c r="A57" s="9" t="s">
        <v>43</v>
      </c>
      <c r="B57" s="23" t="s">
        <v>24</v>
      </c>
      <c r="C57" s="154"/>
      <c r="D57" s="154"/>
    </row>
    <row r="58" spans="1:4" ht="13.5" customHeight="1">
      <c r="A58" s="9" t="s">
        <v>44</v>
      </c>
      <c r="B58" s="21" t="s">
        <v>146</v>
      </c>
      <c r="C58" s="154"/>
      <c r="D58" s="154"/>
    </row>
    <row r="59" spans="1:4" ht="36.75" customHeight="1">
      <c r="A59" s="10" t="s">
        <v>45</v>
      </c>
      <c r="B59" s="22" t="s">
        <v>22</v>
      </c>
      <c r="C59" s="154"/>
      <c r="D59" s="154"/>
    </row>
    <row r="60" spans="1:4">
      <c r="A60" s="167" t="s">
        <v>46</v>
      </c>
      <c r="B60" s="167"/>
      <c r="C60" s="167"/>
      <c r="D60" s="167"/>
    </row>
    <row r="61" spans="1:4" ht="15.75" customHeight="1">
      <c r="A61" s="9" t="s">
        <v>47</v>
      </c>
      <c r="B61" s="22" t="s">
        <v>83</v>
      </c>
      <c r="C61" s="152">
        <v>2.27</v>
      </c>
      <c r="D61" s="154">
        <f>C61*B8*12</f>
        <v>46626.707999999999</v>
      </c>
    </row>
    <row r="62" spans="1:4" ht="12.75" customHeight="1">
      <c r="A62" s="9" t="s">
        <v>48</v>
      </c>
      <c r="B62" s="22" t="s">
        <v>83</v>
      </c>
      <c r="C62" s="152"/>
      <c r="D62" s="154"/>
    </row>
    <row r="63" spans="1:4" ht="24.75" customHeight="1">
      <c r="A63" s="9" t="s">
        <v>49</v>
      </c>
      <c r="B63" s="22" t="s">
        <v>83</v>
      </c>
      <c r="C63" s="152"/>
      <c r="D63" s="154"/>
    </row>
    <row r="64" spans="1:4" ht="16.5" customHeight="1">
      <c r="A64" s="9" t="s">
        <v>50</v>
      </c>
      <c r="B64" s="22" t="s">
        <v>83</v>
      </c>
      <c r="C64" s="152"/>
      <c r="D64" s="154"/>
    </row>
    <row r="65" spans="1:4" ht="39.75" customHeight="1">
      <c r="A65" s="10" t="s">
        <v>51</v>
      </c>
      <c r="B65" s="22" t="s">
        <v>22</v>
      </c>
      <c r="C65" s="152"/>
      <c r="D65" s="154"/>
    </row>
    <row r="66" spans="1:4" ht="16.5" customHeight="1">
      <c r="A66" s="10" t="s">
        <v>52</v>
      </c>
      <c r="B66" s="23" t="s">
        <v>84</v>
      </c>
      <c r="C66" s="152"/>
      <c r="D66" s="154"/>
    </row>
    <row r="67" spans="1:4">
      <c r="A67" s="157" t="s">
        <v>85</v>
      </c>
      <c r="B67" s="158"/>
      <c r="C67" s="158"/>
      <c r="D67" s="159"/>
    </row>
    <row r="68" spans="1:4" ht="26.25" customHeight="1">
      <c r="A68" s="175" t="s">
        <v>96</v>
      </c>
      <c r="B68" s="177" t="s">
        <v>86</v>
      </c>
      <c r="C68" s="152">
        <v>2.41</v>
      </c>
      <c r="D68" s="154">
        <f>C68*B8*12</f>
        <v>49502.364000000001</v>
      </c>
    </row>
    <row r="69" spans="1:4" ht="13.5" customHeight="1">
      <c r="A69" s="176"/>
      <c r="B69" s="177"/>
      <c r="C69" s="152"/>
      <c r="D69" s="154"/>
    </row>
    <row r="70" spans="1:4" ht="15" customHeight="1">
      <c r="A70" s="157" t="s">
        <v>55</v>
      </c>
      <c r="B70" s="158"/>
      <c r="C70" s="158"/>
      <c r="D70" s="159"/>
    </row>
    <row r="71" spans="1:4" ht="16.5" customHeight="1">
      <c r="A71" s="6" t="s">
        <v>90</v>
      </c>
      <c r="B71" s="21" t="s">
        <v>87</v>
      </c>
      <c r="C71" s="170">
        <v>2.14</v>
      </c>
      <c r="D71" s="172">
        <f>40243.83+3658.53</f>
        <v>43902.36</v>
      </c>
    </row>
    <row r="72" spans="1:4">
      <c r="A72" s="6" t="s">
        <v>91</v>
      </c>
      <c r="B72" s="21" t="s">
        <v>87</v>
      </c>
      <c r="C72" s="171"/>
      <c r="D72" s="173"/>
    </row>
    <row r="73" spans="1:4" ht="15" customHeight="1">
      <c r="A73" s="6" t="s">
        <v>92</v>
      </c>
      <c r="B73" s="21" t="s">
        <v>87</v>
      </c>
      <c r="C73" s="169"/>
      <c r="D73" s="174"/>
    </row>
    <row r="74" spans="1:4" ht="38.25" customHeight="1">
      <c r="A74" s="6" t="s">
        <v>143</v>
      </c>
      <c r="B74" s="22" t="s">
        <v>22</v>
      </c>
      <c r="C74" s="61">
        <v>4.3499999999999996</v>
      </c>
      <c r="D74" s="61">
        <f>C74*12*B8</f>
        <v>89350.739999999991</v>
      </c>
    </row>
    <row r="75" spans="1:4">
      <c r="A75" s="60" t="s">
        <v>56</v>
      </c>
      <c r="B75" s="23"/>
      <c r="C75" s="28">
        <f>C74+C71+C68+C61+C48+C44+C37+C30+C26+C19+C16+C13</f>
        <v>21.619999999999997</v>
      </c>
      <c r="D75" s="28">
        <f>D74+D71+D68+D61+D48+D44+D37+D30+D26+D19+D16+D13</f>
        <v>443539.44200000004</v>
      </c>
    </row>
    <row r="77" spans="1:4">
      <c r="D77" s="40"/>
    </row>
    <row r="78" spans="1:4">
      <c r="D78" s="40"/>
    </row>
    <row r="79" spans="1:4">
      <c r="D79" s="40"/>
    </row>
    <row r="80" spans="1:4">
      <c r="D80" s="40"/>
    </row>
  </sheetData>
  <mergeCells count="34">
    <mergeCell ref="A43:D43"/>
    <mergeCell ref="C44:C46"/>
    <mergeCell ref="D44:D46"/>
    <mergeCell ref="C37:C42"/>
    <mergeCell ref="D37:D42"/>
    <mergeCell ref="A36:D36"/>
    <mergeCell ref="A12:D12"/>
    <mergeCell ref="A17:D17"/>
    <mergeCell ref="C19:C24"/>
    <mergeCell ref="D19:D24"/>
    <mergeCell ref="A25:D25"/>
    <mergeCell ref="D13:D14"/>
    <mergeCell ref="B13:B14"/>
    <mergeCell ref="C13:C14"/>
    <mergeCell ref="C26:C27"/>
    <mergeCell ref="D26:D27"/>
    <mergeCell ref="A28:D28"/>
    <mergeCell ref="A29:D29"/>
    <mergeCell ref="C30:C35"/>
    <mergeCell ref="D30:D35"/>
    <mergeCell ref="A47:D47"/>
    <mergeCell ref="A70:D70"/>
    <mergeCell ref="C71:C73"/>
    <mergeCell ref="D71:D73"/>
    <mergeCell ref="A60:D60"/>
    <mergeCell ref="C61:C66"/>
    <mergeCell ref="D61:D66"/>
    <mergeCell ref="A67:D67"/>
    <mergeCell ref="A68:A69"/>
    <mergeCell ref="B68:B69"/>
    <mergeCell ref="C68:C69"/>
    <mergeCell ref="D68:D69"/>
    <mergeCell ref="C48:C59"/>
    <mergeCell ref="D48:D59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E81"/>
  <sheetViews>
    <sheetView workbookViewId="0">
      <selection activeCell="G22" sqref="G22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5">
      <c r="A1" s="1" t="s">
        <v>0</v>
      </c>
      <c r="B1" s="2"/>
      <c r="C1" s="2"/>
      <c r="D1" s="2" t="s">
        <v>64</v>
      </c>
    </row>
    <row r="2" spans="1:5">
      <c r="A2" s="1" t="s">
        <v>141</v>
      </c>
      <c r="B2" s="2"/>
      <c r="C2" s="2"/>
      <c r="D2" s="2"/>
    </row>
    <row r="3" spans="1:5">
      <c r="A3" s="1" t="s">
        <v>268</v>
      </c>
      <c r="B3" s="2"/>
      <c r="C3" s="2"/>
      <c r="D3" s="2"/>
    </row>
    <row r="4" spans="1:5">
      <c r="A4" s="25" t="s">
        <v>58</v>
      </c>
      <c r="B4" s="2">
        <v>1994</v>
      </c>
      <c r="C4" s="2"/>
      <c r="D4" s="2"/>
    </row>
    <row r="5" spans="1:5">
      <c r="A5" s="25" t="s">
        <v>59</v>
      </c>
      <c r="B5" s="2">
        <v>4</v>
      </c>
      <c r="C5" s="2"/>
      <c r="D5" s="2"/>
    </row>
    <row r="6" spans="1:5">
      <c r="A6" s="25" t="s">
        <v>60</v>
      </c>
      <c r="B6" s="2">
        <v>3</v>
      </c>
      <c r="C6" s="2"/>
      <c r="D6" s="2"/>
    </row>
    <row r="7" spans="1:5">
      <c r="A7" s="25" t="s">
        <v>61</v>
      </c>
      <c r="B7" s="2">
        <v>36</v>
      </c>
      <c r="C7" s="2"/>
      <c r="D7" s="2"/>
    </row>
    <row r="8" spans="1:5">
      <c r="A8" s="25" t="s">
        <v>72</v>
      </c>
      <c r="B8" s="2">
        <v>1701.3</v>
      </c>
      <c r="C8" s="2"/>
      <c r="D8" s="2"/>
    </row>
    <row r="9" spans="1:5">
      <c r="A9" s="25" t="s">
        <v>62</v>
      </c>
      <c r="B9" s="2">
        <v>173.7</v>
      </c>
      <c r="C9" s="2"/>
      <c r="D9" s="2"/>
    </row>
    <row r="10" spans="1:5">
      <c r="A10" s="25" t="s">
        <v>73</v>
      </c>
      <c r="B10" s="2">
        <v>442.3</v>
      </c>
      <c r="C10" s="2"/>
      <c r="D10" s="2"/>
    </row>
    <row r="11" spans="1:5" ht="36.75">
      <c r="A11" s="56" t="s">
        <v>1</v>
      </c>
      <c r="B11" s="56" t="s">
        <v>2</v>
      </c>
      <c r="C11" s="56" t="s">
        <v>3</v>
      </c>
      <c r="D11" s="56" t="s">
        <v>4</v>
      </c>
    </row>
    <row r="12" spans="1:5">
      <c r="A12" s="178" t="s">
        <v>5</v>
      </c>
      <c r="B12" s="158"/>
      <c r="C12" s="158"/>
      <c r="D12" s="159"/>
    </row>
    <row r="13" spans="1:5" ht="88.5" customHeight="1">
      <c r="A13" s="104" t="s">
        <v>6</v>
      </c>
      <c r="B13" s="160" t="s">
        <v>8</v>
      </c>
      <c r="C13" s="153">
        <v>1.02</v>
      </c>
      <c r="D13" s="163">
        <f>C13*12*B8</f>
        <v>20823.912</v>
      </c>
    </row>
    <row r="14" spans="1:5" ht="75.75" customHeight="1">
      <c r="A14" s="103" t="s">
        <v>89</v>
      </c>
      <c r="B14" s="161"/>
      <c r="C14" s="162"/>
      <c r="D14" s="164"/>
      <c r="E14" s="116"/>
    </row>
    <row r="15" spans="1:5">
      <c r="A15" s="103" t="s">
        <v>9</v>
      </c>
      <c r="B15" s="56"/>
      <c r="C15" s="26"/>
      <c r="D15" s="30"/>
    </row>
    <row r="16" spans="1:5">
      <c r="A16" s="103" t="s">
        <v>319</v>
      </c>
      <c r="B16" s="127" t="s">
        <v>24</v>
      </c>
      <c r="C16" s="26">
        <v>0.23</v>
      </c>
      <c r="D16" s="30">
        <f>C16*12*B8</f>
        <v>4695.5880000000006</v>
      </c>
    </row>
    <row r="17" spans="1:4">
      <c r="A17" s="6" t="s">
        <v>320</v>
      </c>
      <c r="B17" s="127" t="s">
        <v>105</v>
      </c>
      <c r="C17" s="26">
        <v>1.85</v>
      </c>
      <c r="D17" s="30">
        <f>C17*12*B8</f>
        <v>37768.86</v>
      </c>
    </row>
    <row r="18" spans="1:4">
      <c r="A18" s="165" t="s">
        <v>10</v>
      </c>
      <c r="B18" s="165"/>
      <c r="C18" s="165"/>
      <c r="D18" s="165"/>
    </row>
    <row r="19" spans="1:4" ht="13.5" customHeight="1">
      <c r="A19" s="39" t="s">
        <v>97</v>
      </c>
      <c r="B19" s="57"/>
      <c r="C19" s="57"/>
      <c r="D19" s="57"/>
    </row>
    <row r="20" spans="1:4" ht="13.5" customHeight="1">
      <c r="A20" s="6" t="s">
        <v>11</v>
      </c>
      <c r="B20" s="56" t="s">
        <v>75</v>
      </c>
      <c r="C20" s="152">
        <v>2.16</v>
      </c>
      <c r="D20" s="166">
        <f>C20*B8*12</f>
        <v>44097.695999999996</v>
      </c>
    </row>
    <row r="21" spans="1:4" ht="12.75" customHeight="1">
      <c r="A21" s="6" t="s">
        <v>12</v>
      </c>
      <c r="B21" s="56" t="s">
        <v>75</v>
      </c>
      <c r="C21" s="152"/>
      <c r="D21" s="155"/>
    </row>
    <row r="22" spans="1:4" ht="14.25" customHeight="1">
      <c r="A22" s="6" t="s">
        <v>13</v>
      </c>
      <c r="B22" s="56" t="s">
        <v>75</v>
      </c>
      <c r="C22" s="152"/>
      <c r="D22" s="155"/>
    </row>
    <row r="23" spans="1:4" ht="13.5" customHeight="1">
      <c r="A23" s="6" t="s">
        <v>14</v>
      </c>
      <c r="B23" s="56" t="s">
        <v>76</v>
      </c>
      <c r="C23" s="152"/>
      <c r="D23" s="155"/>
    </row>
    <row r="24" spans="1:4" ht="12.75" customHeight="1">
      <c r="A24" s="39" t="s">
        <v>93</v>
      </c>
      <c r="B24" s="56"/>
      <c r="C24" s="152"/>
      <c r="D24" s="155"/>
    </row>
    <row r="25" spans="1:4" ht="30" customHeight="1">
      <c r="A25" s="6" t="s">
        <v>15</v>
      </c>
      <c r="B25" s="56" t="s">
        <v>94</v>
      </c>
      <c r="C25" s="152"/>
      <c r="D25" s="156"/>
    </row>
    <row r="26" spans="1:4" ht="12.75" customHeight="1">
      <c r="A26" s="157" t="s">
        <v>16</v>
      </c>
      <c r="B26" s="158"/>
      <c r="C26" s="158"/>
      <c r="D26" s="159"/>
    </row>
    <row r="27" spans="1:4" ht="12" customHeight="1">
      <c r="A27" s="7" t="s">
        <v>17</v>
      </c>
      <c r="B27" s="21" t="s">
        <v>78</v>
      </c>
      <c r="C27" s="152">
        <v>0.2</v>
      </c>
      <c r="D27" s="167">
        <f>C27*B8*12</f>
        <v>4083.12</v>
      </c>
    </row>
    <row r="28" spans="1:4" ht="12" customHeight="1">
      <c r="A28" s="7" t="s">
        <v>18</v>
      </c>
      <c r="B28" s="21" t="s">
        <v>77</v>
      </c>
      <c r="C28" s="152"/>
      <c r="D28" s="167"/>
    </row>
    <row r="29" spans="1:4" ht="13.5" customHeight="1">
      <c r="A29" s="157" t="s">
        <v>19</v>
      </c>
      <c r="B29" s="158"/>
      <c r="C29" s="158"/>
      <c r="D29" s="159"/>
    </row>
    <row r="30" spans="1:4">
      <c r="A30" s="167" t="s">
        <v>20</v>
      </c>
      <c r="B30" s="167"/>
      <c r="C30" s="167"/>
      <c r="D30" s="167"/>
    </row>
    <row r="31" spans="1:4" ht="37.5" customHeight="1">
      <c r="A31" s="8" t="s">
        <v>21</v>
      </c>
      <c r="B31" s="22" t="s">
        <v>79</v>
      </c>
      <c r="C31" s="152">
        <v>0.61</v>
      </c>
      <c r="D31" s="154">
        <f>C31*B8*12</f>
        <v>12453.516</v>
      </c>
    </row>
    <row r="32" spans="1:4" ht="15" customHeight="1">
      <c r="A32" s="9" t="s">
        <v>23</v>
      </c>
      <c r="B32" s="23" t="s">
        <v>80</v>
      </c>
      <c r="C32" s="152"/>
      <c r="D32" s="155"/>
    </row>
    <row r="33" spans="1:4" ht="13.5" customHeight="1">
      <c r="A33" s="9" t="s">
        <v>25</v>
      </c>
      <c r="B33" s="23" t="s">
        <v>80</v>
      </c>
      <c r="C33" s="152"/>
      <c r="D33" s="155"/>
    </row>
    <row r="34" spans="1:4" ht="36" customHeight="1">
      <c r="A34" s="9" t="s">
        <v>26</v>
      </c>
      <c r="B34" s="22" t="s">
        <v>22</v>
      </c>
      <c r="C34" s="152"/>
      <c r="D34" s="155"/>
    </row>
    <row r="35" spans="1:4" ht="14.25" customHeight="1">
      <c r="A35" s="9" t="s">
        <v>27</v>
      </c>
      <c r="B35" s="22" t="s">
        <v>24</v>
      </c>
      <c r="C35" s="152"/>
      <c r="D35" s="155"/>
    </row>
    <row r="36" spans="1:4" ht="33.75" customHeight="1">
      <c r="A36" s="24" t="s">
        <v>28</v>
      </c>
      <c r="B36" s="22" t="s">
        <v>22</v>
      </c>
      <c r="C36" s="153"/>
      <c r="D36" s="156"/>
    </row>
    <row r="37" spans="1:4" ht="15.75" customHeight="1">
      <c r="A37" s="167" t="s">
        <v>65</v>
      </c>
      <c r="B37" s="167"/>
      <c r="C37" s="167"/>
      <c r="D37" s="167"/>
    </row>
    <row r="38" spans="1:4" ht="36.75" customHeight="1">
      <c r="A38" s="9" t="s">
        <v>66</v>
      </c>
      <c r="B38" s="22" t="s">
        <v>79</v>
      </c>
      <c r="C38" s="154">
        <v>1.82</v>
      </c>
      <c r="D38" s="152">
        <f>C38*B8*12</f>
        <v>37156.392</v>
      </c>
    </row>
    <row r="39" spans="1:4" ht="14.25" customHeight="1">
      <c r="A39" s="9" t="s">
        <v>67</v>
      </c>
      <c r="B39" s="22" t="s">
        <v>80</v>
      </c>
      <c r="C39" s="154"/>
      <c r="D39" s="168"/>
    </row>
    <row r="40" spans="1:4" ht="14.25" customHeight="1">
      <c r="A40" s="9" t="s">
        <v>68</v>
      </c>
      <c r="B40" s="22" t="s">
        <v>80</v>
      </c>
      <c r="C40" s="154"/>
      <c r="D40" s="168"/>
    </row>
    <row r="41" spans="1:4" ht="24" customHeight="1">
      <c r="A41" s="9" t="s">
        <v>69</v>
      </c>
      <c r="B41" s="22" t="s">
        <v>79</v>
      </c>
      <c r="C41" s="154"/>
      <c r="D41" s="168"/>
    </row>
    <row r="42" spans="1:4" ht="25.5" customHeight="1">
      <c r="A42" s="10" t="s">
        <v>70</v>
      </c>
      <c r="B42" s="22" t="s">
        <v>79</v>
      </c>
      <c r="C42" s="154"/>
      <c r="D42" s="168"/>
    </row>
    <row r="43" spans="1:4" ht="14.25" customHeight="1">
      <c r="A43" s="9" t="s">
        <v>71</v>
      </c>
      <c r="B43" s="22" t="s">
        <v>24</v>
      </c>
      <c r="C43" s="154"/>
      <c r="D43" s="162"/>
    </row>
    <row r="44" spans="1:4" ht="11.25" customHeight="1">
      <c r="A44" s="169" t="s">
        <v>29</v>
      </c>
      <c r="B44" s="169"/>
      <c r="C44" s="169"/>
      <c r="D44" s="169"/>
    </row>
    <row r="45" spans="1:4" ht="35.25" customHeight="1">
      <c r="A45" s="9" t="s">
        <v>30</v>
      </c>
      <c r="B45" s="22" t="s">
        <v>22</v>
      </c>
      <c r="C45" s="154">
        <v>0.69</v>
      </c>
      <c r="D45" s="152">
        <f>C45*12*B8</f>
        <v>14086.763999999999</v>
      </c>
    </row>
    <row r="46" spans="1:4" ht="38.25" customHeight="1">
      <c r="A46" s="9" t="s">
        <v>31</v>
      </c>
      <c r="B46" s="22" t="s">
        <v>22</v>
      </c>
      <c r="C46" s="154"/>
      <c r="D46" s="152"/>
    </row>
    <row r="47" spans="1:4" ht="15" customHeight="1">
      <c r="A47" s="10" t="s">
        <v>32</v>
      </c>
      <c r="B47" s="22" t="s">
        <v>22</v>
      </c>
      <c r="C47" s="154"/>
      <c r="D47" s="152"/>
    </row>
    <row r="48" spans="1:4" ht="12.75" customHeight="1">
      <c r="A48" s="167" t="s">
        <v>33</v>
      </c>
      <c r="B48" s="167"/>
      <c r="C48" s="167"/>
      <c r="D48" s="167"/>
    </row>
    <row r="49" spans="1:4" ht="29.25" customHeight="1">
      <c r="A49" s="9" t="s">
        <v>34</v>
      </c>
      <c r="B49" s="22" t="s">
        <v>77</v>
      </c>
      <c r="C49" s="154">
        <v>2.35</v>
      </c>
      <c r="D49" s="154">
        <f>C49*12*B8</f>
        <v>47976.66</v>
      </c>
    </row>
    <row r="50" spans="1:4" ht="14.25" customHeight="1">
      <c r="A50" s="9" t="s">
        <v>35</v>
      </c>
      <c r="B50" s="22" t="s">
        <v>81</v>
      </c>
      <c r="C50" s="154"/>
      <c r="D50" s="154"/>
    </row>
    <row r="51" spans="1:4" ht="17.25" customHeight="1">
      <c r="A51" s="9" t="s">
        <v>36</v>
      </c>
      <c r="B51" s="22" t="s">
        <v>81</v>
      </c>
      <c r="C51" s="154"/>
      <c r="D51" s="154"/>
    </row>
    <row r="52" spans="1:4" ht="24.75" customHeight="1">
      <c r="A52" s="9" t="s">
        <v>37</v>
      </c>
      <c r="B52" s="22" t="s">
        <v>82</v>
      </c>
      <c r="C52" s="154"/>
      <c r="D52" s="154"/>
    </row>
    <row r="53" spans="1:4" ht="30" customHeight="1">
      <c r="A53" s="9" t="s">
        <v>38</v>
      </c>
      <c r="B53" s="22" t="s">
        <v>82</v>
      </c>
      <c r="C53" s="154"/>
      <c r="D53" s="154"/>
    </row>
    <row r="54" spans="1:4" ht="12.75" customHeight="1">
      <c r="A54" s="57" t="s">
        <v>95</v>
      </c>
      <c r="B54" s="6"/>
      <c r="C54" s="154"/>
      <c r="D54" s="154"/>
    </row>
    <row r="55" spans="1:4" ht="35.25" customHeight="1">
      <c r="A55" s="9" t="s">
        <v>40</v>
      </c>
      <c r="B55" s="22" t="s">
        <v>79</v>
      </c>
      <c r="C55" s="154"/>
      <c r="D55" s="154"/>
    </row>
    <row r="56" spans="1:4" ht="14.25" customHeight="1">
      <c r="A56" s="9" t="s">
        <v>41</v>
      </c>
      <c r="B56" s="22" t="s">
        <v>24</v>
      </c>
      <c r="C56" s="154"/>
      <c r="D56" s="154"/>
    </row>
    <row r="57" spans="1:4" ht="14.25" customHeight="1">
      <c r="A57" s="9" t="s">
        <v>42</v>
      </c>
      <c r="B57" s="23" t="s">
        <v>24</v>
      </c>
      <c r="C57" s="154"/>
      <c r="D57" s="154"/>
    </row>
    <row r="58" spans="1:4" ht="13.5" customHeight="1">
      <c r="A58" s="9" t="s">
        <v>43</v>
      </c>
      <c r="B58" s="23" t="s">
        <v>24</v>
      </c>
      <c r="C58" s="154"/>
      <c r="D58" s="154"/>
    </row>
    <row r="59" spans="1:4" ht="13.5" customHeight="1">
      <c r="A59" s="9" t="s">
        <v>44</v>
      </c>
      <c r="B59" s="21" t="s">
        <v>142</v>
      </c>
      <c r="C59" s="154"/>
      <c r="D59" s="154"/>
    </row>
    <row r="60" spans="1:4" ht="36.75" customHeight="1">
      <c r="A60" s="10" t="s">
        <v>45</v>
      </c>
      <c r="B60" s="22" t="s">
        <v>22</v>
      </c>
      <c r="C60" s="154"/>
      <c r="D60" s="154"/>
    </row>
    <row r="61" spans="1:4">
      <c r="A61" s="167" t="s">
        <v>46</v>
      </c>
      <c r="B61" s="167"/>
      <c r="C61" s="167"/>
      <c r="D61" s="167"/>
    </row>
    <row r="62" spans="1:4" ht="15.75" customHeight="1">
      <c r="A62" s="9" t="s">
        <v>47</v>
      </c>
      <c r="B62" s="22" t="s">
        <v>83</v>
      </c>
      <c r="C62" s="152">
        <v>1.79</v>
      </c>
      <c r="D62" s="154">
        <f>C62*B8*12+147.01</f>
        <v>36690.934000000001</v>
      </c>
    </row>
    <row r="63" spans="1:4" ht="17.25" customHeight="1">
      <c r="A63" s="9" t="s">
        <v>48</v>
      </c>
      <c r="B63" s="22" t="s">
        <v>83</v>
      </c>
      <c r="C63" s="152"/>
      <c r="D63" s="154"/>
    </row>
    <row r="64" spans="1:4" ht="29.25" customHeight="1">
      <c r="A64" s="9" t="s">
        <v>49</v>
      </c>
      <c r="B64" s="22" t="s">
        <v>83</v>
      </c>
      <c r="C64" s="152"/>
      <c r="D64" s="154"/>
    </row>
    <row r="65" spans="1:4" ht="16.5" customHeight="1">
      <c r="A65" s="9" t="s">
        <v>50</v>
      </c>
      <c r="B65" s="22" t="s">
        <v>83</v>
      </c>
      <c r="C65" s="152"/>
      <c r="D65" s="154"/>
    </row>
    <row r="66" spans="1:4" ht="39.75" customHeight="1">
      <c r="A66" s="10" t="s">
        <v>51</v>
      </c>
      <c r="B66" s="22" t="s">
        <v>22</v>
      </c>
      <c r="C66" s="152"/>
      <c r="D66" s="154"/>
    </row>
    <row r="67" spans="1:4" ht="16.5" customHeight="1">
      <c r="A67" s="10" t="s">
        <v>52</v>
      </c>
      <c r="B67" s="23" t="s">
        <v>84</v>
      </c>
      <c r="C67" s="152"/>
      <c r="D67" s="154"/>
    </row>
    <row r="68" spans="1:4">
      <c r="A68" s="157" t="s">
        <v>85</v>
      </c>
      <c r="B68" s="158"/>
      <c r="C68" s="158"/>
      <c r="D68" s="159"/>
    </row>
    <row r="69" spans="1:4" ht="26.25" customHeight="1">
      <c r="A69" s="175" t="s">
        <v>96</v>
      </c>
      <c r="B69" s="177" t="s">
        <v>86</v>
      </c>
      <c r="C69" s="152">
        <v>2.41</v>
      </c>
      <c r="D69" s="154">
        <f>C69*B8*12</f>
        <v>49201.595999999998</v>
      </c>
    </row>
    <row r="70" spans="1:4" ht="13.5" customHeight="1">
      <c r="A70" s="176"/>
      <c r="B70" s="177"/>
      <c r="C70" s="152"/>
      <c r="D70" s="154"/>
    </row>
    <row r="71" spans="1:4" ht="15" customHeight="1">
      <c r="A71" s="157" t="s">
        <v>55</v>
      </c>
      <c r="B71" s="158"/>
      <c r="C71" s="158"/>
      <c r="D71" s="159"/>
    </row>
    <row r="72" spans="1:4" ht="16.5" customHeight="1">
      <c r="A72" s="6" t="s">
        <v>90</v>
      </c>
      <c r="B72" s="21" t="s">
        <v>87</v>
      </c>
      <c r="C72" s="170">
        <v>2.14</v>
      </c>
      <c r="D72" s="172">
        <f>40064.52+3640.77</f>
        <v>43705.289999999994</v>
      </c>
    </row>
    <row r="73" spans="1:4">
      <c r="A73" s="6" t="s">
        <v>91</v>
      </c>
      <c r="B73" s="21" t="s">
        <v>87</v>
      </c>
      <c r="C73" s="171"/>
      <c r="D73" s="173"/>
    </row>
    <row r="74" spans="1:4" ht="15" customHeight="1">
      <c r="A74" s="6" t="s">
        <v>92</v>
      </c>
      <c r="B74" s="21" t="s">
        <v>87</v>
      </c>
      <c r="C74" s="169"/>
      <c r="D74" s="174"/>
    </row>
    <row r="75" spans="1:4" ht="38.25" customHeight="1">
      <c r="A75" s="6" t="s">
        <v>143</v>
      </c>
      <c r="B75" s="22" t="s">
        <v>22</v>
      </c>
      <c r="C75" s="55">
        <v>4.3499999999999996</v>
      </c>
      <c r="D75" s="55">
        <f>C75*12*B8</f>
        <v>88807.859999999986</v>
      </c>
    </row>
    <row r="76" spans="1:4">
      <c r="A76" s="57" t="s">
        <v>56</v>
      </c>
      <c r="B76" s="23"/>
      <c r="C76" s="28">
        <f>C75+C72+C69+C62+C49+C45+C38+C31+C27+C20+C17+C16+C13</f>
        <v>21.62</v>
      </c>
      <c r="D76" s="28">
        <f>D75+D72+D69+D62+D49+D45+D38+D31+D27+D20+D17+D16+D13</f>
        <v>441548.18799999997</v>
      </c>
    </row>
    <row r="78" spans="1:4">
      <c r="D78" s="40"/>
    </row>
    <row r="79" spans="1:4">
      <c r="D79" s="40"/>
    </row>
    <row r="80" spans="1:4">
      <c r="D80" s="40"/>
    </row>
    <row r="81" spans="4:4">
      <c r="D81" s="40"/>
    </row>
  </sheetData>
  <mergeCells count="34">
    <mergeCell ref="C49:C60"/>
    <mergeCell ref="D49:D60"/>
    <mergeCell ref="A71:D71"/>
    <mergeCell ref="C72:C74"/>
    <mergeCell ref="D72:D74"/>
    <mergeCell ref="A61:D61"/>
    <mergeCell ref="C62:C67"/>
    <mergeCell ref="D62:D67"/>
    <mergeCell ref="A68:D68"/>
    <mergeCell ref="A69:A70"/>
    <mergeCell ref="B69:B70"/>
    <mergeCell ref="C69:C70"/>
    <mergeCell ref="D69:D70"/>
    <mergeCell ref="A44:D44"/>
    <mergeCell ref="C45:C47"/>
    <mergeCell ref="D45:D47"/>
    <mergeCell ref="A48:D48"/>
    <mergeCell ref="D13:D14"/>
    <mergeCell ref="C38:C43"/>
    <mergeCell ref="D38:D43"/>
    <mergeCell ref="C27:C28"/>
    <mergeCell ref="D27:D28"/>
    <mergeCell ref="A29:D29"/>
    <mergeCell ref="A30:D30"/>
    <mergeCell ref="C31:C36"/>
    <mergeCell ref="D31:D36"/>
    <mergeCell ref="A37:D37"/>
    <mergeCell ref="A12:D12"/>
    <mergeCell ref="A18:D18"/>
    <mergeCell ref="C20:C25"/>
    <mergeCell ref="D20:D25"/>
    <mergeCell ref="A26:D26"/>
    <mergeCell ref="B13:B14"/>
    <mergeCell ref="C13:C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E83"/>
  <sheetViews>
    <sheetView topLeftCell="A49" workbookViewId="0">
      <selection activeCell="D84" sqref="D84"/>
    </sheetView>
  </sheetViews>
  <sheetFormatPr defaultRowHeight="15"/>
  <cols>
    <col min="1" max="1" width="87.7109375" customWidth="1"/>
    <col min="2" max="2" width="13" customWidth="1"/>
    <col min="3" max="3" width="10" customWidth="1"/>
    <col min="4" max="4" width="12" customWidth="1"/>
  </cols>
  <sheetData>
    <row r="1" spans="1:5">
      <c r="A1" s="1" t="s">
        <v>0</v>
      </c>
      <c r="B1" s="2"/>
      <c r="C1" s="2"/>
      <c r="D1" s="2" t="s">
        <v>64</v>
      </c>
    </row>
    <row r="2" spans="1:5">
      <c r="A2" s="1" t="s">
        <v>140</v>
      </c>
      <c r="B2" s="2"/>
      <c r="C2" s="2"/>
      <c r="D2" s="2"/>
    </row>
    <row r="3" spans="1:5">
      <c r="A3" s="1" t="s">
        <v>268</v>
      </c>
      <c r="B3" s="2"/>
      <c r="C3" s="2"/>
      <c r="D3" s="2"/>
    </row>
    <row r="4" spans="1:5">
      <c r="A4" s="25" t="s">
        <v>58</v>
      </c>
      <c r="B4" s="2">
        <v>1993</v>
      </c>
      <c r="C4" s="2"/>
      <c r="D4" s="2"/>
    </row>
    <row r="5" spans="1:5">
      <c r="A5" s="25" t="s">
        <v>59</v>
      </c>
      <c r="B5" s="2">
        <v>4</v>
      </c>
      <c r="C5" s="2"/>
      <c r="D5" s="2"/>
    </row>
    <row r="6" spans="1:5">
      <c r="A6" s="25" t="s">
        <v>60</v>
      </c>
      <c r="B6" s="2">
        <v>3</v>
      </c>
      <c r="C6" s="2"/>
      <c r="D6" s="2"/>
    </row>
    <row r="7" spans="1:5">
      <c r="A7" s="25" t="s">
        <v>61</v>
      </c>
      <c r="B7" s="2">
        <v>36</v>
      </c>
      <c r="C7" s="2"/>
      <c r="D7" s="2"/>
    </row>
    <row r="8" spans="1:5">
      <c r="A8" s="25" t="s">
        <v>72</v>
      </c>
      <c r="B8" s="2">
        <v>1715.6</v>
      </c>
      <c r="C8" s="2"/>
      <c r="D8" s="2"/>
    </row>
    <row r="9" spans="1:5">
      <c r="A9" s="25" t="s">
        <v>62</v>
      </c>
      <c r="B9" s="2">
        <v>173.7</v>
      </c>
      <c r="C9" s="2"/>
      <c r="D9" s="2"/>
    </row>
    <row r="10" spans="1:5">
      <c r="A10" s="25" t="s">
        <v>73</v>
      </c>
      <c r="B10" s="2">
        <v>446.7</v>
      </c>
      <c r="C10" s="2"/>
      <c r="D10" s="2"/>
    </row>
    <row r="11" spans="1:5" ht="36.75">
      <c r="A11" s="56" t="s">
        <v>1</v>
      </c>
      <c r="B11" s="56" t="s">
        <v>2</v>
      </c>
      <c r="C11" s="56" t="s">
        <v>3</v>
      </c>
      <c r="D11" s="56" t="s">
        <v>4</v>
      </c>
    </row>
    <row r="12" spans="1:5">
      <c r="A12" s="178" t="s">
        <v>5</v>
      </c>
      <c r="B12" s="158"/>
      <c r="C12" s="158"/>
      <c r="D12" s="159"/>
    </row>
    <row r="13" spans="1:5" ht="88.5" customHeight="1">
      <c r="A13" s="104" t="s">
        <v>6</v>
      </c>
      <c r="B13" s="160" t="s">
        <v>8</v>
      </c>
      <c r="C13" s="153">
        <v>1.02</v>
      </c>
      <c r="D13" s="163">
        <f>C13*12*B8</f>
        <v>20998.944</v>
      </c>
    </row>
    <row r="14" spans="1:5" ht="75.75" customHeight="1">
      <c r="A14" s="103" t="s">
        <v>89</v>
      </c>
      <c r="B14" s="161"/>
      <c r="C14" s="162"/>
      <c r="D14" s="164"/>
      <c r="E14" s="116"/>
    </row>
    <row r="15" spans="1:5" ht="15.75" customHeight="1">
      <c r="A15" s="103" t="s">
        <v>9</v>
      </c>
      <c r="B15" s="56"/>
      <c r="C15" s="26"/>
      <c r="D15" s="30"/>
    </row>
    <row r="16" spans="1:5" ht="15.75" customHeight="1">
      <c r="A16" s="103" t="s">
        <v>309</v>
      </c>
      <c r="B16" s="122" t="s">
        <v>117</v>
      </c>
      <c r="C16" s="26">
        <v>0.62</v>
      </c>
      <c r="D16" s="30">
        <f>C16*12*B8</f>
        <v>12764.063999999998</v>
      </c>
    </row>
    <row r="17" spans="1:4">
      <c r="A17" s="6" t="s">
        <v>139</v>
      </c>
      <c r="B17" s="59" t="s">
        <v>105</v>
      </c>
      <c r="C17" s="26">
        <v>0.18</v>
      </c>
      <c r="D17" s="30">
        <f>C17*12*B9</f>
        <v>375.19200000000001</v>
      </c>
    </row>
    <row r="18" spans="1:4">
      <c r="A18" s="6" t="s">
        <v>310</v>
      </c>
      <c r="B18" s="59" t="s">
        <v>105</v>
      </c>
      <c r="C18" s="44">
        <v>0.15</v>
      </c>
      <c r="D18" s="30">
        <f>C18*12*B8</f>
        <v>3088.0799999999995</v>
      </c>
    </row>
    <row r="19" spans="1:4">
      <c r="A19" s="6" t="s">
        <v>276</v>
      </c>
      <c r="B19" s="122" t="s">
        <v>105</v>
      </c>
      <c r="C19" s="44">
        <v>1.06</v>
      </c>
      <c r="D19" s="30">
        <f>C19*12*B8</f>
        <v>21822.432000000001</v>
      </c>
    </row>
    <row r="20" spans="1:4">
      <c r="A20" s="165" t="s">
        <v>10</v>
      </c>
      <c r="B20" s="165"/>
      <c r="C20" s="165"/>
      <c r="D20" s="165"/>
    </row>
    <row r="21" spans="1:4" ht="13.5" customHeight="1">
      <c r="A21" s="39" t="s">
        <v>97</v>
      </c>
      <c r="B21" s="57"/>
      <c r="C21" s="57"/>
      <c r="D21" s="57"/>
    </row>
    <row r="22" spans="1:4" ht="13.5" customHeight="1">
      <c r="A22" s="6" t="s">
        <v>11</v>
      </c>
      <c r="B22" s="56" t="s">
        <v>75</v>
      </c>
      <c r="C22" s="152">
        <v>2.16</v>
      </c>
      <c r="D22" s="166">
        <f>C22*B8*12</f>
        <v>44468.351999999999</v>
      </c>
    </row>
    <row r="23" spans="1:4" ht="12.75" customHeight="1">
      <c r="A23" s="6" t="s">
        <v>12</v>
      </c>
      <c r="B23" s="56" t="s">
        <v>75</v>
      </c>
      <c r="C23" s="152"/>
      <c r="D23" s="155"/>
    </row>
    <row r="24" spans="1:4" ht="14.25" customHeight="1">
      <c r="A24" s="6" t="s">
        <v>13</v>
      </c>
      <c r="B24" s="56" t="s">
        <v>75</v>
      </c>
      <c r="C24" s="152"/>
      <c r="D24" s="155"/>
    </row>
    <row r="25" spans="1:4" ht="13.5" customHeight="1">
      <c r="A25" s="6" t="s">
        <v>14</v>
      </c>
      <c r="B25" s="56" t="s">
        <v>76</v>
      </c>
      <c r="C25" s="152"/>
      <c r="D25" s="155"/>
    </row>
    <row r="26" spans="1:4" ht="12.75" customHeight="1">
      <c r="A26" s="39" t="s">
        <v>93</v>
      </c>
      <c r="B26" s="56"/>
      <c r="C26" s="152"/>
      <c r="D26" s="155"/>
    </row>
    <row r="27" spans="1:4" ht="30" customHeight="1">
      <c r="A27" s="6" t="s">
        <v>15</v>
      </c>
      <c r="B27" s="56" t="s">
        <v>94</v>
      </c>
      <c r="C27" s="152"/>
      <c r="D27" s="156"/>
    </row>
    <row r="28" spans="1:4" ht="12.75" customHeight="1">
      <c r="A28" s="157" t="s">
        <v>16</v>
      </c>
      <c r="B28" s="158"/>
      <c r="C28" s="158"/>
      <c r="D28" s="159"/>
    </row>
    <row r="29" spans="1:4" ht="12" customHeight="1">
      <c r="A29" s="7" t="s">
        <v>17</v>
      </c>
      <c r="B29" s="21" t="s">
        <v>78</v>
      </c>
      <c r="C29" s="152">
        <v>0.2</v>
      </c>
      <c r="D29" s="167">
        <f>C29*B8*12</f>
        <v>4117.4400000000005</v>
      </c>
    </row>
    <row r="30" spans="1:4" ht="12" customHeight="1">
      <c r="A30" s="7" t="s">
        <v>18</v>
      </c>
      <c r="B30" s="21" t="s">
        <v>77</v>
      </c>
      <c r="C30" s="152"/>
      <c r="D30" s="167"/>
    </row>
    <row r="31" spans="1:4" ht="13.5" customHeight="1">
      <c r="A31" s="157" t="s">
        <v>19</v>
      </c>
      <c r="B31" s="158"/>
      <c r="C31" s="158"/>
      <c r="D31" s="159"/>
    </row>
    <row r="32" spans="1:4">
      <c r="A32" s="167" t="s">
        <v>20</v>
      </c>
      <c r="B32" s="167"/>
      <c r="C32" s="167"/>
      <c r="D32" s="167"/>
    </row>
    <row r="33" spans="1:4" ht="37.5" customHeight="1">
      <c r="A33" s="8" t="s">
        <v>21</v>
      </c>
      <c r="B33" s="22" t="s">
        <v>79</v>
      </c>
      <c r="C33" s="152">
        <v>1.04</v>
      </c>
      <c r="D33" s="154">
        <f>C33*B8*12</f>
        <v>21410.687999999998</v>
      </c>
    </row>
    <row r="34" spans="1:4" ht="15" customHeight="1">
      <c r="A34" s="9" t="s">
        <v>23</v>
      </c>
      <c r="B34" s="23" t="s">
        <v>80</v>
      </c>
      <c r="C34" s="152"/>
      <c r="D34" s="155"/>
    </row>
    <row r="35" spans="1:4" ht="13.5" customHeight="1">
      <c r="A35" s="9" t="s">
        <v>25</v>
      </c>
      <c r="B35" s="23" t="s">
        <v>80</v>
      </c>
      <c r="C35" s="152"/>
      <c r="D35" s="155"/>
    </row>
    <row r="36" spans="1:4" ht="36" customHeight="1">
      <c r="A36" s="9" t="s">
        <v>26</v>
      </c>
      <c r="B36" s="22" t="s">
        <v>22</v>
      </c>
      <c r="C36" s="152"/>
      <c r="D36" s="155"/>
    </row>
    <row r="37" spans="1:4" ht="14.25" customHeight="1">
      <c r="A37" s="9" t="s">
        <v>27</v>
      </c>
      <c r="B37" s="22" t="s">
        <v>24</v>
      </c>
      <c r="C37" s="152"/>
      <c r="D37" s="155"/>
    </row>
    <row r="38" spans="1:4" ht="33.75" customHeight="1">
      <c r="A38" s="24" t="s">
        <v>28</v>
      </c>
      <c r="B38" s="22" t="s">
        <v>22</v>
      </c>
      <c r="C38" s="153"/>
      <c r="D38" s="156"/>
    </row>
    <row r="39" spans="1:4" ht="15.75" customHeight="1">
      <c r="A39" s="167" t="s">
        <v>65</v>
      </c>
      <c r="B39" s="167"/>
      <c r="C39" s="167"/>
      <c r="D39" s="167"/>
    </row>
    <row r="40" spans="1:4" ht="36.75" customHeight="1">
      <c r="A40" s="9" t="s">
        <v>66</v>
      </c>
      <c r="B40" s="22" t="s">
        <v>79</v>
      </c>
      <c r="C40" s="154">
        <v>1.73</v>
      </c>
      <c r="D40" s="152">
        <f>C40*B8*12</f>
        <v>35615.856</v>
      </c>
    </row>
    <row r="41" spans="1:4" ht="14.25" customHeight="1">
      <c r="A41" s="9" t="s">
        <v>67</v>
      </c>
      <c r="B41" s="22" t="s">
        <v>80</v>
      </c>
      <c r="C41" s="154"/>
      <c r="D41" s="168"/>
    </row>
    <row r="42" spans="1:4" ht="14.25" customHeight="1">
      <c r="A42" s="9" t="s">
        <v>68</v>
      </c>
      <c r="B42" s="22" t="s">
        <v>80</v>
      </c>
      <c r="C42" s="154"/>
      <c r="D42" s="168"/>
    </row>
    <row r="43" spans="1:4" ht="24" customHeight="1">
      <c r="A43" s="9" t="s">
        <v>69</v>
      </c>
      <c r="B43" s="22" t="s">
        <v>79</v>
      </c>
      <c r="C43" s="154"/>
      <c r="D43" s="168"/>
    </row>
    <row r="44" spans="1:4" ht="25.5" customHeight="1">
      <c r="A44" s="10" t="s">
        <v>70</v>
      </c>
      <c r="B44" s="22" t="s">
        <v>79</v>
      </c>
      <c r="C44" s="154"/>
      <c r="D44" s="168"/>
    </row>
    <row r="45" spans="1:4" ht="14.25" customHeight="1">
      <c r="A45" s="9" t="s">
        <v>71</v>
      </c>
      <c r="B45" s="22" t="s">
        <v>24</v>
      </c>
      <c r="C45" s="154"/>
      <c r="D45" s="162"/>
    </row>
    <row r="46" spans="1:4" ht="11.25" customHeight="1">
      <c r="A46" s="169" t="s">
        <v>29</v>
      </c>
      <c r="B46" s="169"/>
      <c r="C46" s="169"/>
      <c r="D46" s="169"/>
    </row>
    <row r="47" spans="1:4" ht="35.25" customHeight="1">
      <c r="A47" s="9" t="s">
        <v>30</v>
      </c>
      <c r="B47" s="22" t="s">
        <v>22</v>
      </c>
      <c r="C47" s="154">
        <v>1.55</v>
      </c>
      <c r="D47" s="152">
        <f>C47*12*B8</f>
        <v>31910.16</v>
      </c>
    </row>
    <row r="48" spans="1:4" ht="38.25" customHeight="1">
      <c r="A48" s="9" t="s">
        <v>31</v>
      </c>
      <c r="B48" s="22" t="s">
        <v>22</v>
      </c>
      <c r="C48" s="154"/>
      <c r="D48" s="152"/>
    </row>
    <row r="49" spans="1:4" ht="15" customHeight="1">
      <c r="A49" s="10" t="s">
        <v>32</v>
      </c>
      <c r="B49" s="22" t="s">
        <v>22</v>
      </c>
      <c r="C49" s="154"/>
      <c r="D49" s="152"/>
    </row>
    <row r="50" spans="1:4" ht="12.75" customHeight="1">
      <c r="A50" s="167" t="s">
        <v>33</v>
      </c>
      <c r="B50" s="167"/>
      <c r="C50" s="167"/>
      <c r="D50" s="167"/>
    </row>
    <row r="51" spans="1:4" ht="29.25" customHeight="1">
      <c r="A51" s="9" t="s">
        <v>34</v>
      </c>
      <c r="B51" s="22" t="s">
        <v>77</v>
      </c>
      <c r="C51" s="154">
        <v>1.47</v>
      </c>
      <c r="D51" s="154">
        <f>C51*12*B8</f>
        <v>30263.184000000001</v>
      </c>
    </row>
    <row r="52" spans="1:4" ht="14.25" customHeight="1">
      <c r="A52" s="9" t="s">
        <v>35</v>
      </c>
      <c r="B52" s="22" t="s">
        <v>81</v>
      </c>
      <c r="C52" s="154"/>
      <c r="D52" s="154"/>
    </row>
    <row r="53" spans="1:4" ht="17.25" customHeight="1">
      <c r="A53" s="9" t="s">
        <v>36</v>
      </c>
      <c r="B53" s="22" t="s">
        <v>81</v>
      </c>
      <c r="C53" s="154"/>
      <c r="D53" s="154"/>
    </row>
    <row r="54" spans="1:4" ht="24.75" customHeight="1">
      <c r="A54" s="9" t="s">
        <v>37</v>
      </c>
      <c r="B54" s="22" t="s">
        <v>82</v>
      </c>
      <c r="C54" s="154"/>
      <c r="D54" s="154"/>
    </row>
    <row r="55" spans="1:4" ht="30" customHeight="1">
      <c r="A55" s="9" t="s">
        <v>38</v>
      </c>
      <c r="B55" s="22" t="s">
        <v>82</v>
      </c>
      <c r="C55" s="154"/>
      <c r="D55" s="154"/>
    </row>
    <row r="56" spans="1:4" ht="12.75" customHeight="1">
      <c r="A56" s="57" t="s">
        <v>95</v>
      </c>
      <c r="B56" s="6"/>
      <c r="C56" s="154"/>
      <c r="D56" s="154"/>
    </row>
    <row r="57" spans="1:4" ht="35.25" customHeight="1">
      <c r="A57" s="9" t="s">
        <v>40</v>
      </c>
      <c r="B57" s="22" t="s">
        <v>79</v>
      </c>
      <c r="C57" s="154"/>
      <c r="D57" s="154"/>
    </row>
    <row r="58" spans="1:4" ht="14.25" customHeight="1">
      <c r="A58" s="9" t="s">
        <v>41</v>
      </c>
      <c r="B58" s="22" t="s">
        <v>24</v>
      </c>
      <c r="C58" s="154"/>
      <c r="D58" s="154"/>
    </row>
    <row r="59" spans="1:4" ht="14.25" customHeight="1">
      <c r="A59" s="9" t="s">
        <v>42</v>
      </c>
      <c r="B59" s="23" t="s">
        <v>24</v>
      </c>
      <c r="C59" s="154"/>
      <c r="D59" s="154"/>
    </row>
    <row r="60" spans="1:4" ht="13.5" customHeight="1">
      <c r="A60" s="9" t="s">
        <v>43</v>
      </c>
      <c r="B60" s="23" t="s">
        <v>24</v>
      </c>
      <c r="C60" s="154"/>
      <c r="D60" s="154"/>
    </row>
    <row r="61" spans="1:4" ht="13.5" customHeight="1">
      <c r="A61" s="9" t="s">
        <v>44</v>
      </c>
      <c r="B61" s="21" t="s">
        <v>126</v>
      </c>
      <c r="C61" s="154"/>
      <c r="D61" s="154"/>
    </row>
    <row r="62" spans="1:4" ht="36.75" customHeight="1">
      <c r="A62" s="10" t="s">
        <v>45</v>
      </c>
      <c r="B62" s="22" t="s">
        <v>22</v>
      </c>
      <c r="C62" s="154"/>
      <c r="D62" s="154"/>
    </row>
    <row r="63" spans="1:4">
      <c r="A63" s="167" t="s">
        <v>46</v>
      </c>
      <c r="B63" s="167"/>
      <c r="C63" s="167"/>
      <c r="D63" s="167"/>
    </row>
    <row r="64" spans="1:4" ht="15.75" customHeight="1">
      <c r="A64" s="9" t="s">
        <v>47</v>
      </c>
      <c r="B64" s="22" t="s">
        <v>83</v>
      </c>
      <c r="C64" s="152">
        <v>1.54</v>
      </c>
      <c r="D64" s="154">
        <f>C64*B8*12+1875.03</f>
        <v>33579.317999999999</v>
      </c>
    </row>
    <row r="65" spans="1:4" ht="12.75" customHeight="1">
      <c r="A65" s="9" t="s">
        <v>48</v>
      </c>
      <c r="B65" s="22" t="s">
        <v>83</v>
      </c>
      <c r="C65" s="152"/>
      <c r="D65" s="154"/>
    </row>
    <row r="66" spans="1:4" ht="27" customHeight="1">
      <c r="A66" s="9" t="s">
        <v>49</v>
      </c>
      <c r="B66" s="22" t="s">
        <v>83</v>
      </c>
      <c r="C66" s="152"/>
      <c r="D66" s="154"/>
    </row>
    <row r="67" spans="1:4" ht="16.5" customHeight="1">
      <c r="A67" s="9" t="s">
        <v>50</v>
      </c>
      <c r="B67" s="22" t="s">
        <v>83</v>
      </c>
      <c r="C67" s="152"/>
      <c r="D67" s="154"/>
    </row>
    <row r="68" spans="1:4" ht="39.75" customHeight="1">
      <c r="A68" s="10" t="s">
        <v>51</v>
      </c>
      <c r="B68" s="22" t="s">
        <v>22</v>
      </c>
      <c r="C68" s="152"/>
      <c r="D68" s="154"/>
    </row>
    <row r="69" spans="1:4" ht="16.5" customHeight="1">
      <c r="A69" s="10" t="s">
        <v>52</v>
      </c>
      <c r="B69" s="23" t="s">
        <v>84</v>
      </c>
      <c r="C69" s="152"/>
      <c r="D69" s="154"/>
    </row>
    <row r="70" spans="1:4">
      <c r="A70" s="157" t="s">
        <v>85</v>
      </c>
      <c r="B70" s="158"/>
      <c r="C70" s="158"/>
      <c r="D70" s="159"/>
    </row>
    <row r="71" spans="1:4" ht="26.25" customHeight="1">
      <c r="A71" s="175" t="s">
        <v>96</v>
      </c>
      <c r="B71" s="177" t="s">
        <v>86</v>
      </c>
      <c r="C71" s="152">
        <v>2.41</v>
      </c>
      <c r="D71" s="154">
        <f>C71*B8*12</f>
        <v>49615.152000000002</v>
      </c>
    </row>
    <row r="72" spans="1:4" ht="13.5" customHeight="1">
      <c r="A72" s="176"/>
      <c r="B72" s="177"/>
      <c r="C72" s="152"/>
      <c r="D72" s="154"/>
    </row>
    <row r="73" spans="1:4" ht="15" customHeight="1">
      <c r="A73" s="157" t="s">
        <v>55</v>
      </c>
      <c r="B73" s="158"/>
      <c r="C73" s="158"/>
      <c r="D73" s="159"/>
    </row>
    <row r="74" spans="1:4" ht="16.5" customHeight="1">
      <c r="A74" s="6" t="s">
        <v>90</v>
      </c>
      <c r="B74" s="21" t="s">
        <v>87</v>
      </c>
      <c r="C74" s="170">
        <v>2.14</v>
      </c>
      <c r="D74" s="172">
        <f>3671.36+40461.84</f>
        <v>44133.2</v>
      </c>
    </row>
    <row r="75" spans="1:4">
      <c r="A75" s="6" t="s">
        <v>91</v>
      </c>
      <c r="B75" s="21" t="s">
        <v>87</v>
      </c>
      <c r="C75" s="171"/>
      <c r="D75" s="173"/>
    </row>
    <row r="76" spans="1:4" ht="15" customHeight="1">
      <c r="A76" s="6" t="s">
        <v>92</v>
      </c>
      <c r="B76" s="21" t="s">
        <v>87</v>
      </c>
      <c r="C76" s="169"/>
      <c r="D76" s="174"/>
    </row>
    <row r="77" spans="1:4" ht="38.25" customHeight="1">
      <c r="A77" s="6" t="s">
        <v>143</v>
      </c>
      <c r="B77" s="22" t="s">
        <v>22</v>
      </c>
      <c r="C77" s="55">
        <v>4.3499999999999996</v>
      </c>
      <c r="D77" s="55">
        <f>C77*12*B8</f>
        <v>89554.319999999992</v>
      </c>
    </row>
    <row r="78" spans="1:4">
      <c r="A78" s="57" t="s">
        <v>56</v>
      </c>
      <c r="B78" s="23"/>
      <c r="C78" s="28">
        <f>C77+C74+C71+C64+C51+C47+C40+C33+C29+C22+C19+C18+C17+C16+C13</f>
        <v>21.62</v>
      </c>
      <c r="D78" s="28">
        <f>D77+D74+D71+D64+D51+D47+D40+D33+D29+D22+D19+D18+D17+D16+D13</f>
        <v>443716.38199999998</v>
      </c>
    </row>
    <row r="80" spans="1:4">
      <c r="D80" s="40"/>
    </row>
    <row r="81" spans="4:4">
      <c r="D81" s="40"/>
    </row>
    <row r="82" spans="4:4">
      <c r="D82" s="40"/>
    </row>
    <row r="83" spans="4:4">
      <c r="D83" s="40"/>
    </row>
  </sheetData>
  <mergeCells count="34">
    <mergeCell ref="A50:D50"/>
    <mergeCell ref="A73:D73"/>
    <mergeCell ref="C74:C76"/>
    <mergeCell ref="D74:D76"/>
    <mergeCell ref="A63:D63"/>
    <mergeCell ref="C64:C69"/>
    <mergeCell ref="D64:D69"/>
    <mergeCell ref="A70:D70"/>
    <mergeCell ref="A71:A72"/>
    <mergeCell ref="B71:B72"/>
    <mergeCell ref="C71:C72"/>
    <mergeCell ref="D71:D72"/>
    <mergeCell ref="C51:C62"/>
    <mergeCell ref="D51:D62"/>
    <mergeCell ref="A39:D39"/>
    <mergeCell ref="A12:D12"/>
    <mergeCell ref="A20:D20"/>
    <mergeCell ref="C22:C27"/>
    <mergeCell ref="D22:D27"/>
    <mergeCell ref="A28:D28"/>
    <mergeCell ref="D13:D14"/>
    <mergeCell ref="B13:B14"/>
    <mergeCell ref="C13:C14"/>
    <mergeCell ref="C29:C30"/>
    <mergeCell ref="D29:D30"/>
    <mergeCell ref="A31:D31"/>
    <mergeCell ref="A32:D32"/>
    <mergeCell ref="C33:C38"/>
    <mergeCell ref="D33:D38"/>
    <mergeCell ref="A46:D46"/>
    <mergeCell ref="C47:C49"/>
    <mergeCell ref="D47:D49"/>
    <mergeCell ref="C40:C45"/>
    <mergeCell ref="D40:D4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78"/>
  <sheetViews>
    <sheetView topLeftCell="A76" workbookViewId="0">
      <selection activeCell="F8" sqref="F8"/>
    </sheetView>
  </sheetViews>
  <sheetFormatPr defaultRowHeight="15"/>
  <cols>
    <col min="1" max="1" width="88.42578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138</v>
      </c>
      <c r="B2" s="2"/>
      <c r="C2" s="2"/>
      <c r="D2" s="2"/>
    </row>
    <row r="3" spans="1:4">
      <c r="A3" s="1" t="s">
        <v>268</v>
      </c>
      <c r="B3" s="2"/>
      <c r="C3" s="2"/>
      <c r="D3" s="2"/>
    </row>
    <row r="4" spans="1:4">
      <c r="A4" s="25" t="s">
        <v>58</v>
      </c>
      <c r="B4" s="2">
        <v>2013</v>
      </c>
      <c r="C4" s="2"/>
      <c r="D4" s="2"/>
    </row>
    <row r="5" spans="1:4">
      <c r="A5" s="25" t="s">
        <v>59</v>
      </c>
      <c r="B5" s="2">
        <v>3</v>
      </c>
      <c r="C5" s="2"/>
      <c r="D5" s="2"/>
    </row>
    <row r="6" spans="1:4">
      <c r="A6" s="25" t="s">
        <v>60</v>
      </c>
      <c r="B6" s="2">
        <v>3</v>
      </c>
      <c r="C6" s="2"/>
      <c r="D6" s="2"/>
    </row>
    <row r="7" spans="1:4">
      <c r="A7" s="25" t="s">
        <v>61</v>
      </c>
      <c r="B7" s="2">
        <v>21</v>
      </c>
      <c r="C7" s="2"/>
      <c r="D7" s="2"/>
    </row>
    <row r="8" spans="1:4">
      <c r="A8" s="25" t="s">
        <v>72</v>
      </c>
      <c r="B8" s="2">
        <v>1133.7</v>
      </c>
      <c r="C8" s="2"/>
      <c r="D8" s="2"/>
    </row>
    <row r="9" spans="1:4">
      <c r="A9" s="25" t="s">
        <v>62</v>
      </c>
      <c r="B9" s="2">
        <v>130.1</v>
      </c>
      <c r="C9" s="2"/>
      <c r="D9" s="2"/>
    </row>
    <row r="10" spans="1:4">
      <c r="A10" s="25" t="s">
        <v>73</v>
      </c>
      <c r="B10" s="2">
        <v>435.6</v>
      </c>
      <c r="C10" s="2"/>
      <c r="D10" s="2"/>
    </row>
    <row r="11" spans="1:4" ht="36.75">
      <c r="A11" s="56" t="s">
        <v>1</v>
      </c>
      <c r="B11" s="56" t="s">
        <v>2</v>
      </c>
      <c r="C11" s="56" t="s">
        <v>3</v>
      </c>
      <c r="D11" s="56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1.0900000000000001</v>
      </c>
      <c r="D13" s="163">
        <f>C13*12*B8</f>
        <v>14828.796000000002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165" t="s">
        <v>10</v>
      </c>
      <c r="B15" s="165"/>
      <c r="C15" s="165"/>
      <c r="D15" s="165"/>
    </row>
    <row r="16" spans="1:4" ht="13.5" customHeight="1">
      <c r="A16" s="39" t="s">
        <v>97</v>
      </c>
      <c r="B16" s="57"/>
      <c r="C16" s="57"/>
      <c r="D16" s="57"/>
    </row>
    <row r="17" spans="1:4" ht="13.5" customHeight="1">
      <c r="A17" s="6" t="s">
        <v>11</v>
      </c>
      <c r="B17" s="56" t="s">
        <v>75</v>
      </c>
      <c r="C17" s="152">
        <v>2.16</v>
      </c>
      <c r="D17" s="166">
        <f>C17*B8*12</f>
        <v>29385.504000000004</v>
      </c>
    </row>
    <row r="18" spans="1:4" ht="12.75" customHeight="1">
      <c r="A18" s="6" t="s">
        <v>12</v>
      </c>
      <c r="B18" s="56" t="s">
        <v>75</v>
      </c>
      <c r="C18" s="152"/>
      <c r="D18" s="155"/>
    </row>
    <row r="19" spans="1:4" ht="14.25" customHeight="1">
      <c r="A19" s="6" t="s">
        <v>13</v>
      </c>
      <c r="B19" s="56" t="s">
        <v>75</v>
      </c>
      <c r="C19" s="152"/>
      <c r="D19" s="155"/>
    </row>
    <row r="20" spans="1:4" ht="13.5" customHeight="1">
      <c r="A20" s="6" t="s">
        <v>14</v>
      </c>
      <c r="B20" s="56" t="s">
        <v>76</v>
      </c>
      <c r="C20" s="152"/>
      <c r="D20" s="155"/>
    </row>
    <row r="21" spans="1:4" ht="12.75" customHeight="1">
      <c r="A21" s="39" t="s">
        <v>93</v>
      </c>
      <c r="B21" s="56"/>
      <c r="C21" s="152"/>
      <c r="D21" s="155"/>
    </row>
    <row r="22" spans="1:4" ht="30" customHeight="1">
      <c r="A22" s="6" t="s">
        <v>15</v>
      </c>
      <c r="B22" s="56" t="s">
        <v>94</v>
      </c>
      <c r="C22" s="152"/>
      <c r="D22" s="156"/>
    </row>
    <row r="23" spans="1:4" ht="12.75" customHeight="1">
      <c r="A23" s="157" t="s">
        <v>16</v>
      </c>
      <c r="B23" s="158"/>
      <c r="C23" s="158"/>
      <c r="D23" s="159"/>
    </row>
    <row r="24" spans="1:4" ht="12" customHeight="1">
      <c r="A24" s="7" t="s">
        <v>17</v>
      </c>
      <c r="B24" s="21" t="s">
        <v>78</v>
      </c>
      <c r="C24" s="152">
        <v>0.2</v>
      </c>
      <c r="D24" s="167">
        <f>C24*B8*12</f>
        <v>2720.88</v>
      </c>
    </row>
    <row r="25" spans="1:4" ht="12" customHeight="1">
      <c r="A25" s="7" t="s">
        <v>18</v>
      </c>
      <c r="B25" s="21" t="s">
        <v>77</v>
      </c>
      <c r="C25" s="152"/>
      <c r="D25" s="167"/>
    </row>
    <row r="26" spans="1:4" ht="13.5" customHeight="1">
      <c r="A26" s="157" t="s">
        <v>19</v>
      </c>
      <c r="B26" s="158"/>
      <c r="C26" s="158"/>
      <c r="D26" s="159"/>
    </row>
    <row r="27" spans="1:4">
      <c r="A27" s="167" t="s">
        <v>20</v>
      </c>
      <c r="B27" s="167"/>
      <c r="C27" s="167"/>
      <c r="D27" s="167"/>
    </row>
    <row r="28" spans="1:4" ht="37.5" customHeight="1">
      <c r="A28" s="8" t="s">
        <v>21</v>
      </c>
      <c r="B28" s="22" t="s">
        <v>79</v>
      </c>
      <c r="C28" s="152">
        <v>1.25</v>
      </c>
      <c r="D28" s="154">
        <f>C28*B8*12</f>
        <v>17005.5</v>
      </c>
    </row>
    <row r="29" spans="1:4" ht="15" customHeight="1">
      <c r="A29" s="9" t="s">
        <v>23</v>
      </c>
      <c r="B29" s="23" t="s">
        <v>80</v>
      </c>
      <c r="C29" s="152"/>
      <c r="D29" s="155"/>
    </row>
    <row r="30" spans="1:4" ht="13.5" customHeight="1">
      <c r="A30" s="9" t="s">
        <v>25</v>
      </c>
      <c r="B30" s="23" t="s">
        <v>80</v>
      </c>
      <c r="C30" s="152"/>
      <c r="D30" s="155"/>
    </row>
    <row r="31" spans="1:4" ht="36" customHeight="1">
      <c r="A31" s="9" t="s">
        <v>26</v>
      </c>
      <c r="B31" s="22" t="s">
        <v>22</v>
      </c>
      <c r="C31" s="152"/>
      <c r="D31" s="155"/>
    </row>
    <row r="32" spans="1:4" ht="14.25" customHeight="1">
      <c r="A32" s="9" t="s">
        <v>27</v>
      </c>
      <c r="B32" s="22" t="s">
        <v>88</v>
      </c>
      <c r="C32" s="152"/>
      <c r="D32" s="155"/>
    </row>
    <row r="33" spans="1:4" ht="33.75" customHeight="1">
      <c r="A33" s="24" t="s">
        <v>28</v>
      </c>
      <c r="B33" s="22" t="s">
        <v>22</v>
      </c>
      <c r="C33" s="153"/>
      <c r="D33" s="156"/>
    </row>
    <row r="34" spans="1:4" ht="15.75" customHeight="1">
      <c r="A34" s="167" t="s">
        <v>65</v>
      </c>
      <c r="B34" s="167"/>
      <c r="C34" s="167"/>
      <c r="D34" s="167"/>
    </row>
    <row r="35" spans="1:4" ht="36.75" customHeight="1">
      <c r="A35" s="9" t="s">
        <v>66</v>
      </c>
      <c r="B35" s="22" t="s">
        <v>79</v>
      </c>
      <c r="C35" s="154">
        <v>1.75</v>
      </c>
      <c r="D35" s="152">
        <f>C35*B8*12</f>
        <v>23807.7</v>
      </c>
    </row>
    <row r="36" spans="1:4" ht="14.25" customHeight="1">
      <c r="A36" s="9" t="s">
        <v>67</v>
      </c>
      <c r="B36" s="22" t="s">
        <v>80</v>
      </c>
      <c r="C36" s="154"/>
      <c r="D36" s="168"/>
    </row>
    <row r="37" spans="1:4" ht="14.25" customHeight="1">
      <c r="A37" s="9" t="s">
        <v>68</v>
      </c>
      <c r="B37" s="22" t="s">
        <v>80</v>
      </c>
      <c r="C37" s="154"/>
      <c r="D37" s="168"/>
    </row>
    <row r="38" spans="1:4" ht="24" customHeight="1">
      <c r="A38" s="9" t="s">
        <v>69</v>
      </c>
      <c r="B38" s="22" t="s">
        <v>79</v>
      </c>
      <c r="C38" s="154"/>
      <c r="D38" s="168"/>
    </row>
    <row r="39" spans="1:4" ht="25.5" customHeight="1">
      <c r="A39" s="10" t="s">
        <v>70</v>
      </c>
      <c r="B39" s="22" t="s">
        <v>79</v>
      </c>
      <c r="C39" s="154"/>
      <c r="D39" s="168"/>
    </row>
    <row r="40" spans="1:4" ht="14.25" customHeight="1">
      <c r="A40" s="9" t="s">
        <v>71</v>
      </c>
      <c r="B40" s="22" t="s">
        <v>88</v>
      </c>
      <c r="C40" s="154"/>
      <c r="D40" s="162"/>
    </row>
    <row r="41" spans="1:4" ht="11.25" customHeight="1">
      <c r="A41" s="169" t="s">
        <v>29</v>
      </c>
      <c r="B41" s="169"/>
      <c r="C41" s="169"/>
      <c r="D41" s="169"/>
    </row>
    <row r="42" spans="1:4" ht="35.25" customHeight="1">
      <c r="A42" s="9" t="s">
        <v>30</v>
      </c>
      <c r="B42" s="22" t="s">
        <v>22</v>
      </c>
      <c r="C42" s="154">
        <v>1.1299999999999999</v>
      </c>
      <c r="D42" s="152">
        <f>C42*12*B8</f>
        <v>15372.972</v>
      </c>
    </row>
    <row r="43" spans="1:4" ht="38.25" customHeight="1">
      <c r="A43" s="9" t="s">
        <v>31</v>
      </c>
      <c r="B43" s="22" t="s">
        <v>22</v>
      </c>
      <c r="C43" s="154"/>
      <c r="D43" s="152"/>
    </row>
    <row r="44" spans="1:4" ht="15" customHeight="1">
      <c r="A44" s="10" t="s">
        <v>32</v>
      </c>
      <c r="B44" s="22" t="s">
        <v>22</v>
      </c>
      <c r="C44" s="154"/>
      <c r="D44" s="152"/>
    </row>
    <row r="45" spans="1:4" ht="12.75" customHeight="1">
      <c r="A45" s="167" t="s">
        <v>33</v>
      </c>
      <c r="B45" s="167"/>
      <c r="C45" s="167"/>
      <c r="D45" s="167"/>
    </row>
    <row r="46" spans="1:4" ht="29.25" customHeight="1">
      <c r="A46" s="9" t="s">
        <v>34</v>
      </c>
      <c r="B46" s="22" t="s">
        <v>77</v>
      </c>
      <c r="C46" s="154">
        <v>3.77</v>
      </c>
      <c r="D46" s="154">
        <f>C46*12*B8+0.11</f>
        <v>51288.698000000004</v>
      </c>
    </row>
    <row r="47" spans="1:4" ht="14.25" customHeight="1">
      <c r="A47" s="9" t="s">
        <v>35</v>
      </c>
      <c r="B47" s="22" t="s">
        <v>81</v>
      </c>
      <c r="C47" s="154"/>
      <c r="D47" s="154"/>
    </row>
    <row r="48" spans="1:4" ht="17.25" customHeight="1">
      <c r="A48" s="9" t="s">
        <v>36</v>
      </c>
      <c r="B48" s="22" t="s">
        <v>81</v>
      </c>
      <c r="C48" s="154"/>
      <c r="D48" s="154"/>
    </row>
    <row r="49" spans="1:4" ht="24.75" customHeight="1">
      <c r="A49" s="9" t="s">
        <v>37</v>
      </c>
      <c r="B49" s="22" t="s">
        <v>82</v>
      </c>
      <c r="C49" s="154"/>
      <c r="D49" s="154"/>
    </row>
    <row r="50" spans="1:4" ht="30" customHeight="1">
      <c r="A50" s="9" t="s">
        <v>38</v>
      </c>
      <c r="B50" s="22" t="s">
        <v>82</v>
      </c>
      <c r="C50" s="154"/>
      <c r="D50" s="154"/>
    </row>
    <row r="51" spans="1:4" ht="12.75" customHeight="1">
      <c r="A51" s="57" t="s">
        <v>95</v>
      </c>
      <c r="B51" s="6"/>
      <c r="C51" s="154"/>
      <c r="D51" s="154"/>
    </row>
    <row r="52" spans="1:4" ht="35.25" customHeight="1">
      <c r="A52" s="9" t="s">
        <v>40</v>
      </c>
      <c r="B52" s="22" t="s">
        <v>79</v>
      </c>
      <c r="C52" s="154"/>
      <c r="D52" s="154"/>
    </row>
    <row r="53" spans="1:4" ht="14.25" customHeight="1">
      <c r="A53" s="9" t="s">
        <v>41</v>
      </c>
      <c r="B53" s="22" t="s">
        <v>24</v>
      </c>
      <c r="C53" s="154"/>
      <c r="D53" s="154"/>
    </row>
    <row r="54" spans="1:4" ht="14.25" customHeight="1">
      <c r="A54" s="9" t="s">
        <v>42</v>
      </c>
      <c r="B54" s="23" t="s">
        <v>24</v>
      </c>
      <c r="C54" s="154"/>
      <c r="D54" s="154"/>
    </row>
    <row r="55" spans="1:4" ht="13.5" customHeight="1">
      <c r="A55" s="9" t="s">
        <v>43</v>
      </c>
      <c r="B55" s="23" t="s">
        <v>24</v>
      </c>
      <c r="C55" s="154"/>
      <c r="D55" s="154"/>
    </row>
    <row r="56" spans="1:4" ht="13.5" customHeight="1">
      <c r="A56" s="9" t="s">
        <v>44</v>
      </c>
      <c r="B56" s="21" t="s">
        <v>137</v>
      </c>
      <c r="C56" s="154"/>
      <c r="D56" s="154"/>
    </row>
    <row r="57" spans="1:4" ht="36.75" customHeight="1">
      <c r="A57" s="10" t="s">
        <v>45</v>
      </c>
      <c r="B57" s="22" t="s">
        <v>22</v>
      </c>
      <c r="C57" s="154"/>
      <c r="D57" s="154"/>
    </row>
    <row r="58" spans="1:4">
      <c r="A58" s="167" t="s">
        <v>46</v>
      </c>
      <c r="B58" s="167"/>
      <c r="C58" s="167"/>
      <c r="D58" s="167"/>
    </row>
    <row r="59" spans="1:4" ht="15.75" customHeight="1">
      <c r="A59" s="9" t="s">
        <v>47</v>
      </c>
      <c r="B59" s="22" t="s">
        <v>83</v>
      </c>
      <c r="C59" s="152">
        <v>1.37</v>
      </c>
      <c r="D59" s="154">
        <f>C59*B8*12</f>
        <v>18638.028000000002</v>
      </c>
    </row>
    <row r="60" spans="1:4" ht="12.75" customHeight="1">
      <c r="A60" s="9" t="s">
        <v>48</v>
      </c>
      <c r="B60" s="22" t="s">
        <v>83</v>
      </c>
      <c r="C60" s="152"/>
      <c r="D60" s="154"/>
    </row>
    <row r="61" spans="1:4" ht="30.75" customHeight="1">
      <c r="A61" s="9" t="s">
        <v>49</v>
      </c>
      <c r="B61" s="22" t="s">
        <v>83</v>
      </c>
      <c r="C61" s="152"/>
      <c r="D61" s="154"/>
    </row>
    <row r="62" spans="1:4" ht="16.5" customHeight="1">
      <c r="A62" s="9" t="s">
        <v>50</v>
      </c>
      <c r="B62" s="22" t="s">
        <v>83</v>
      </c>
      <c r="C62" s="152"/>
      <c r="D62" s="154"/>
    </row>
    <row r="63" spans="1:4" ht="39.75" customHeight="1">
      <c r="A63" s="10" t="s">
        <v>51</v>
      </c>
      <c r="B63" s="22" t="s">
        <v>22</v>
      </c>
      <c r="C63" s="152"/>
      <c r="D63" s="154"/>
    </row>
    <row r="64" spans="1:4" ht="16.5" customHeight="1">
      <c r="A64" s="10" t="s">
        <v>52</v>
      </c>
      <c r="B64" s="23" t="s">
        <v>84</v>
      </c>
      <c r="C64" s="152"/>
      <c r="D64" s="154"/>
    </row>
    <row r="65" spans="1:4">
      <c r="A65" s="157" t="s">
        <v>85</v>
      </c>
      <c r="B65" s="158"/>
      <c r="C65" s="158"/>
      <c r="D65" s="159"/>
    </row>
    <row r="66" spans="1:4" ht="26.25" customHeight="1">
      <c r="A66" s="175" t="s">
        <v>96</v>
      </c>
      <c r="B66" s="177" t="s">
        <v>86</v>
      </c>
      <c r="C66" s="152">
        <v>2.41</v>
      </c>
      <c r="D66" s="154">
        <f>C66*B8*12</f>
        <v>32786.603999999999</v>
      </c>
    </row>
    <row r="67" spans="1:4" ht="13.5" customHeight="1">
      <c r="A67" s="176"/>
      <c r="B67" s="177"/>
      <c r="C67" s="152"/>
      <c r="D67" s="154"/>
    </row>
    <row r="68" spans="1:4" ht="15" customHeight="1">
      <c r="A68" s="157" t="s">
        <v>55</v>
      </c>
      <c r="B68" s="158"/>
      <c r="C68" s="158"/>
      <c r="D68" s="159"/>
    </row>
    <row r="69" spans="1:4" ht="16.5" customHeight="1">
      <c r="A69" s="6" t="s">
        <v>90</v>
      </c>
      <c r="B69" s="21" t="s">
        <v>87</v>
      </c>
      <c r="C69" s="170">
        <v>2.14</v>
      </c>
      <c r="D69" s="172">
        <v>29113.32</v>
      </c>
    </row>
    <row r="70" spans="1:4">
      <c r="A70" s="6" t="s">
        <v>91</v>
      </c>
      <c r="B70" s="21" t="s">
        <v>87</v>
      </c>
      <c r="C70" s="171"/>
      <c r="D70" s="173"/>
    </row>
    <row r="71" spans="1:4" ht="15" customHeight="1">
      <c r="A71" s="6" t="s">
        <v>92</v>
      </c>
      <c r="B71" s="21" t="s">
        <v>87</v>
      </c>
      <c r="C71" s="169"/>
      <c r="D71" s="174"/>
    </row>
    <row r="72" spans="1:4" ht="38.25" customHeight="1">
      <c r="A72" s="6" t="s">
        <v>143</v>
      </c>
      <c r="B72" s="22" t="s">
        <v>22</v>
      </c>
      <c r="C72" s="55">
        <v>4.3499999999999996</v>
      </c>
      <c r="D72" s="55">
        <v>59179.92</v>
      </c>
    </row>
    <row r="73" spans="1:4">
      <c r="A73" s="57" t="s">
        <v>56</v>
      </c>
      <c r="B73" s="23"/>
      <c r="C73" s="28">
        <f>C72+C69+C66+C59+C46+C42+C35+C28+C24+C17+C14+C13</f>
        <v>21.619999999999997</v>
      </c>
      <c r="D73" s="54">
        <f>D72+D69+D66+D59+D46+D42+D35+D28+D24+D17+D14+D13</f>
        <v>294127.92200000002</v>
      </c>
    </row>
    <row r="75" spans="1:4">
      <c r="D75" s="40"/>
    </row>
    <row r="76" spans="1:4">
      <c r="D76" s="40"/>
    </row>
    <row r="77" spans="1:4">
      <c r="D77" s="40"/>
    </row>
    <row r="78" spans="1:4">
      <c r="D78" s="40"/>
    </row>
  </sheetData>
  <mergeCells count="34">
    <mergeCell ref="C46:C57"/>
    <mergeCell ref="D46:D57"/>
    <mergeCell ref="A68:D68"/>
    <mergeCell ref="C69:C71"/>
    <mergeCell ref="D69:D71"/>
    <mergeCell ref="A58:D58"/>
    <mergeCell ref="C59:C64"/>
    <mergeCell ref="D59:D64"/>
    <mergeCell ref="A65:D65"/>
    <mergeCell ref="A66:A67"/>
    <mergeCell ref="B66:B67"/>
    <mergeCell ref="C66:C67"/>
    <mergeCell ref="D66:D67"/>
    <mergeCell ref="A41:D41"/>
    <mergeCell ref="C42:C44"/>
    <mergeCell ref="D42:D44"/>
    <mergeCell ref="A45:D45"/>
    <mergeCell ref="D13:D14"/>
    <mergeCell ref="C35:C40"/>
    <mergeCell ref="D35:D40"/>
    <mergeCell ref="C24:C25"/>
    <mergeCell ref="D24:D25"/>
    <mergeCell ref="A26:D26"/>
    <mergeCell ref="A27:D27"/>
    <mergeCell ref="C28:C33"/>
    <mergeCell ref="D28:D33"/>
    <mergeCell ref="A34:D34"/>
    <mergeCell ref="A12:D12"/>
    <mergeCell ref="A15:D15"/>
    <mergeCell ref="C17:C22"/>
    <mergeCell ref="D17:D22"/>
    <mergeCell ref="A23:D23"/>
    <mergeCell ref="B13:B14"/>
    <mergeCell ref="C13:C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78"/>
  <sheetViews>
    <sheetView topLeftCell="A13" workbookViewId="0">
      <selection activeCell="A13" sqref="A13:D14"/>
    </sheetView>
  </sheetViews>
  <sheetFormatPr defaultRowHeight="15"/>
  <cols>
    <col min="1" max="1" width="88.710937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136</v>
      </c>
      <c r="B2" s="2"/>
      <c r="C2" s="2"/>
      <c r="D2" s="2"/>
    </row>
    <row r="3" spans="1:4">
      <c r="A3" s="1" t="s">
        <v>268</v>
      </c>
      <c r="B3" s="2"/>
      <c r="C3" s="2"/>
      <c r="D3" s="2"/>
    </row>
    <row r="4" spans="1:4">
      <c r="A4" s="25" t="s">
        <v>58</v>
      </c>
      <c r="B4" s="2">
        <v>2013</v>
      </c>
      <c r="C4" s="2"/>
      <c r="D4" s="2"/>
    </row>
    <row r="5" spans="1:4">
      <c r="A5" s="25" t="s">
        <v>59</v>
      </c>
      <c r="B5" s="2">
        <v>3</v>
      </c>
      <c r="C5" s="2"/>
      <c r="D5" s="2"/>
    </row>
    <row r="6" spans="1:4">
      <c r="A6" s="25" t="s">
        <v>60</v>
      </c>
      <c r="B6" s="2">
        <v>2</v>
      </c>
      <c r="C6" s="2"/>
      <c r="D6" s="2"/>
    </row>
    <row r="7" spans="1:4">
      <c r="A7" s="25" t="s">
        <v>61</v>
      </c>
      <c r="B7" s="2">
        <v>24</v>
      </c>
      <c r="C7" s="2"/>
      <c r="D7" s="2"/>
    </row>
    <row r="8" spans="1:4">
      <c r="A8" s="25" t="s">
        <v>72</v>
      </c>
      <c r="B8" s="2">
        <v>933.1</v>
      </c>
      <c r="C8" s="2"/>
      <c r="D8" s="2"/>
    </row>
    <row r="9" spans="1:4">
      <c r="A9" s="25" t="s">
        <v>62</v>
      </c>
      <c r="B9" s="2">
        <v>139.9</v>
      </c>
      <c r="C9" s="2"/>
      <c r="D9" s="2"/>
    </row>
    <row r="10" spans="1:4">
      <c r="A10" s="25" t="s">
        <v>73</v>
      </c>
      <c r="B10" s="2">
        <v>358.2</v>
      </c>
      <c r="C10" s="2"/>
      <c r="D10" s="2"/>
    </row>
    <row r="11" spans="1:4" ht="36.75">
      <c r="A11" s="56" t="s">
        <v>1</v>
      </c>
      <c r="B11" s="56" t="s">
        <v>2</v>
      </c>
      <c r="C11" s="56" t="s">
        <v>3</v>
      </c>
      <c r="D11" s="56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1.0900000000000001</v>
      </c>
      <c r="D13" s="163">
        <f>C13*12*B8</f>
        <v>12204.948000000002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165" t="s">
        <v>10</v>
      </c>
      <c r="B15" s="165"/>
      <c r="C15" s="165"/>
      <c r="D15" s="165"/>
    </row>
    <row r="16" spans="1:4" ht="13.5" customHeight="1">
      <c r="A16" s="39" t="s">
        <v>97</v>
      </c>
      <c r="B16" s="57"/>
      <c r="C16" s="57"/>
      <c r="D16" s="57"/>
    </row>
    <row r="17" spans="1:4" ht="13.5" customHeight="1">
      <c r="A17" s="6" t="s">
        <v>11</v>
      </c>
      <c r="B17" s="56" t="s">
        <v>75</v>
      </c>
      <c r="C17" s="152">
        <v>2.16</v>
      </c>
      <c r="D17" s="166">
        <f>C17*B8*12</f>
        <v>24185.952000000001</v>
      </c>
    </row>
    <row r="18" spans="1:4" ht="12.75" customHeight="1">
      <c r="A18" s="6" t="s">
        <v>12</v>
      </c>
      <c r="B18" s="56" t="s">
        <v>75</v>
      </c>
      <c r="C18" s="152"/>
      <c r="D18" s="155"/>
    </row>
    <row r="19" spans="1:4" ht="14.25" customHeight="1">
      <c r="A19" s="6" t="s">
        <v>13</v>
      </c>
      <c r="B19" s="56" t="s">
        <v>75</v>
      </c>
      <c r="C19" s="152"/>
      <c r="D19" s="155"/>
    </row>
    <row r="20" spans="1:4" ht="13.5" customHeight="1">
      <c r="A20" s="6" t="s">
        <v>14</v>
      </c>
      <c r="B20" s="56" t="s">
        <v>76</v>
      </c>
      <c r="C20" s="152"/>
      <c r="D20" s="155"/>
    </row>
    <row r="21" spans="1:4" ht="12.75" customHeight="1">
      <c r="A21" s="39" t="s">
        <v>93</v>
      </c>
      <c r="B21" s="56"/>
      <c r="C21" s="152"/>
      <c r="D21" s="155"/>
    </row>
    <row r="22" spans="1:4" ht="30" customHeight="1">
      <c r="A22" s="6" t="s">
        <v>15</v>
      </c>
      <c r="B22" s="56" t="s">
        <v>94</v>
      </c>
      <c r="C22" s="152"/>
      <c r="D22" s="156"/>
    </row>
    <row r="23" spans="1:4" ht="12.75" customHeight="1">
      <c r="A23" s="157" t="s">
        <v>16</v>
      </c>
      <c r="B23" s="158"/>
      <c r="C23" s="158"/>
      <c r="D23" s="159"/>
    </row>
    <row r="24" spans="1:4" ht="12" customHeight="1">
      <c r="A24" s="7" t="s">
        <v>17</v>
      </c>
      <c r="B24" s="21" t="s">
        <v>78</v>
      </c>
      <c r="C24" s="152">
        <v>0.2</v>
      </c>
      <c r="D24" s="167">
        <f>C24*B8*12</f>
        <v>2239.44</v>
      </c>
    </row>
    <row r="25" spans="1:4" ht="12" customHeight="1">
      <c r="A25" s="7" t="s">
        <v>18</v>
      </c>
      <c r="B25" s="21" t="s">
        <v>77</v>
      </c>
      <c r="C25" s="152"/>
      <c r="D25" s="167"/>
    </row>
    <row r="26" spans="1:4" ht="13.5" customHeight="1">
      <c r="A26" s="157" t="s">
        <v>19</v>
      </c>
      <c r="B26" s="158"/>
      <c r="C26" s="158"/>
      <c r="D26" s="159"/>
    </row>
    <row r="27" spans="1:4">
      <c r="A27" s="167" t="s">
        <v>20</v>
      </c>
      <c r="B27" s="167"/>
      <c r="C27" s="167"/>
      <c r="D27" s="167"/>
    </row>
    <row r="28" spans="1:4" ht="37.5" customHeight="1">
      <c r="A28" s="8" t="s">
        <v>21</v>
      </c>
      <c r="B28" s="22" t="s">
        <v>79</v>
      </c>
      <c r="C28" s="152">
        <v>0.79</v>
      </c>
      <c r="D28" s="154">
        <f>C28*B8*12</f>
        <v>8845.7880000000005</v>
      </c>
    </row>
    <row r="29" spans="1:4" ht="15" customHeight="1">
      <c r="A29" s="9" t="s">
        <v>23</v>
      </c>
      <c r="B29" s="23" t="s">
        <v>80</v>
      </c>
      <c r="C29" s="152"/>
      <c r="D29" s="155"/>
    </row>
    <row r="30" spans="1:4" ht="13.5" customHeight="1">
      <c r="A30" s="9" t="s">
        <v>25</v>
      </c>
      <c r="B30" s="23" t="s">
        <v>80</v>
      </c>
      <c r="C30" s="152"/>
      <c r="D30" s="155"/>
    </row>
    <row r="31" spans="1:4" ht="36" customHeight="1">
      <c r="A31" s="9" t="s">
        <v>26</v>
      </c>
      <c r="B31" s="22" t="s">
        <v>22</v>
      </c>
      <c r="C31" s="152"/>
      <c r="D31" s="155"/>
    </row>
    <row r="32" spans="1:4" ht="14.25" customHeight="1">
      <c r="A32" s="9" t="s">
        <v>27</v>
      </c>
      <c r="B32" s="22" t="s">
        <v>88</v>
      </c>
      <c r="C32" s="152"/>
      <c r="D32" s="155"/>
    </row>
    <row r="33" spans="1:4" ht="33.75" customHeight="1">
      <c r="A33" s="24" t="s">
        <v>28</v>
      </c>
      <c r="B33" s="22" t="s">
        <v>22</v>
      </c>
      <c r="C33" s="153"/>
      <c r="D33" s="156"/>
    </row>
    <row r="34" spans="1:4" ht="15.75" customHeight="1">
      <c r="A34" s="167" t="s">
        <v>65</v>
      </c>
      <c r="B34" s="167"/>
      <c r="C34" s="167"/>
      <c r="D34" s="167"/>
    </row>
    <row r="35" spans="1:4" ht="36.75" customHeight="1">
      <c r="A35" s="9" t="s">
        <v>66</v>
      </c>
      <c r="B35" s="22" t="s">
        <v>79</v>
      </c>
      <c r="C35" s="154">
        <v>1.29</v>
      </c>
      <c r="D35" s="152">
        <f>C35*B8*12</f>
        <v>14444.388000000001</v>
      </c>
    </row>
    <row r="36" spans="1:4" ht="14.25" customHeight="1">
      <c r="A36" s="9" t="s">
        <v>67</v>
      </c>
      <c r="B36" s="22" t="s">
        <v>80</v>
      </c>
      <c r="C36" s="154"/>
      <c r="D36" s="168"/>
    </row>
    <row r="37" spans="1:4" ht="14.25" customHeight="1">
      <c r="A37" s="9" t="s">
        <v>68</v>
      </c>
      <c r="B37" s="22" t="s">
        <v>80</v>
      </c>
      <c r="C37" s="154"/>
      <c r="D37" s="168"/>
    </row>
    <row r="38" spans="1:4" ht="24" customHeight="1">
      <c r="A38" s="9" t="s">
        <v>69</v>
      </c>
      <c r="B38" s="22" t="s">
        <v>79</v>
      </c>
      <c r="C38" s="154"/>
      <c r="D38" s="168"/>
    </row>
    <row r="39" spans="1:4" ht="25.5" customHeight="1">
      <c r="A39" s="10" t="s">
        <v>70</v>
      </c>
      <c r="B39" s="22" t="s">
        <v>79</v>
      </c>
      <c r="C39" s="154"/>
      <c r="D39" s="168"/>
    </row>
    <row r="40" spans="1:4" ht="14.25" customHeight="1">
      <c r="A40" s="9" t="s">
        <v>71</v>
      </c>
      <c r="B40" s="22" t="s">
        <v>88</v>
      </c>
      <c r="C40" s="154"/>
      <c r="D40" s="162"/>
    </row>
    <row r="41" spans="1:4" ht="11.25" customHeight="1">
      <c r="A41" s="169" t="s">
        <v>29</v>
      </c>
      <c r="B41" s="169"/>
      <c r="C41" s="169"/>
      <c r="D41" s="169"/>
    </row>
    <row r="42" spans="1:4" ht="35.25" customHeight="1">
      <c r="A42" s="9" t="s">
        <v>30</v>
      </c>
      <c r="B42" s="22" t="s">
        <v>22</v>
      </c>
      <c r="C42" s="154">
        <v>0.91</v>
      </c>
      <c r="D42" s="152">
        <f>C42*12*B8</f>
        <v>10189.451999999999</v>
      </c>
    </row>
    <row r="43" spans="1:4" ht="38.25" customHeight="1">
      <c r="A43" s="9" t="s">
        <v>31</v>
      </c>
      <c r="B43" s="22" t="s">
        <v>22</v>
      </c>
      <c r="C43" s="154"/>
      <c r="D43" s="152"/>
    </row>
    <row r="44" spans="1:4" ht="15" customHeight="1">
      <c r="A44" s="10" t="s">
        <v>32</v>
      </c>
      <c r="B44" s="22" t="s">
        <v>22</v>
      </c>
      <c r="C44" s="154"/>
      <c r="D44" s="152"/>
    </row>
    <row r="45" spans="1:4" ht="12.75" customHeight="1">
      <c r="A45" s="167" t="s">
        <v>33</v>
      </c>
      <c r="B45" s="167"/>
      <c r="C45" s="167"/>
      <c r="D45" s="167"/>
    </row>
    <row r="46" spans="1:4" ht="29.25" customHeight="1">
      <c r="A46" s="9" t="s">
        <v>34</v>
      </c>
      <c r="B46" s="22" t="s">
        <v>77</v>
      </c>
      <c r="C46" s="154">
        <v>3.56</v>
      </c>
      <c r="D46" s="154">
        <f>C46*12*B8</f>
        <v>39862.031999999999</v>
      </c>
    </row>
    <row r="47" spans="1:4" ht="14.25" customHeight="1">
      <c r="A47" s="9" t="s">
        <v>35</v>
      </c>
      <c r="B47" s="22" t="s">
        <v>81</v>
      </c>
      <c r="C47" s="154"/>
      <c r="D47" s="154"/>
    </row>
    <row r="48" spans="1:4" ht="17.25" customHeight="1">
      <c r="A48" s="9" t="s">
        <v>36</v>
      </c>
      <c r="B48" s="22" t="s">
        <v>81</v>
      </c>
      <c r="C48" s="154"/>
      <c r="D48" s="154"/>
    </row>
    <row r="49" spans="1:4" ht="24.75" customHeight="1">
      <c r="A49" s="9" t="s">
        <v>37</v>
      </c>
      <c r="B49" s="22" t="s">
        <v>82</v>
      </c>
      <c r="C49" s="154"/>
      <c r="D49" s="154"/>
    </row>
    <row r="50" spans="1:4" ht="30" customHeight="1">
      <c r="A50" s="9" t="s">
        <v>38</v>
      </c>
      <c r="B50" s="22" t="s">
        <v>82</v>
      </c>
      <c r="C50" s="154"/>
      <c r="D50" s="154"/>
    </row>
    <row r="51" spans="1:4" ht="12.75" customHeight="1">
      <c r="A51" s="57" t="s">
        <v>95</v>
      </c>
      <c r="B51" s="6"/>
      <c r="C51" s="154"/>
      <c r="D51" s="154"/>
    </row>
    <row r="52" spans="1:4" ht="35.25" customHeight="1">
      <c r="A52" s="9" t="s">
        <v>40</v>
      </c>
      <c r="B52" s="22" t="s">
        <v>79</v>
      </c>
      <c r="C52" s="154"/>
      <c r="D52" s="154"/>
    </row>
    <row r="53" spans="1:4" ht="14.25" customHeight="1">
      <c r="A53" s="9" t="s">
        <v>41</v>
      </c>
      <c r="B53" s="22" t="s">
        <v>24</v>
      </c>
      <c r="C53" s="154"/>
      <c r="D53" s="154"/>
    </row>
    <row r="54" spans="1:4" ht="14.25" customHeight="1">
      <c r="A54" s="9" t="s">
        <v>42</v>
      </c>
      <c r="B54" s="23" t="s">
        <v>24</v>
      </c>
      <c r="C54" s="154"/>
      <c r="D54" s="154"/>
    </row>
    <row r="55" spans="1:4" ht="13.5" customHeight="1">
      <c r="A55" s="9" t="s">
        <v>43</v>
      </c>
      <c r="B55" s="23" t="s">
        <v>24</v>
      </c>
      <c r="C55" s="154"/>
      <c r="D55" s="154"/>
    </row>
    <row r="56" spans="1:4" ht="13.5" customHeight="1">
      <c r="A56" s="9" t="s">
        <v>44</v>
      </c>
      <c r="B56" s="21" t="s">
        <v>137</v>
      </c>
      <c r="C56" s="154"/>
      <c r="D56" s="154"/>
    </row>
    <row r="57" spans="1:4" ht="36.75" customHeight="1">
      <c r="A57" s="10" t="s">
        <v>45</v>
      </c>
      <c r="B57" s="22" t="s">
        <v>22</v>
      </c>
      <c r="C57" s="154"/>
      <c r="D57" s="154"/>
    </row>
    <row r="58" spans="1:4">
      <c r="A58" s="167" t="s">
        <v>46</v>
      </c>
      <c r="B58" s="167"/>
      <c r="C58" s="167"/>
      <c r="D58" s="167"/>
    </row>
    <row r="59" spans="1:4" ht="15.75" customHeight="1">
      <c r="A59" s="9" t="s">
        <v>47</v>
      </c>
      <c r="B59" s="22" t="s">
        <v>83</v>
      </c>
      <c r="C59" s="152">
        <v>2.72</v>
      </c>
      <c r="D59" s="154">
        <f>C59*B8*12+0.2</f>
        <v>30456.584000000003</v>
      </c>
    </row>
    <row r="60" spans="1:4" ht="12.75" customHeight="1">
      <c r="A60" s="9" t="s">
        <v>48</v>
      </c>
      <c r="B60" s="22" t="s">
        <v>83</v>
      </c>
      <c r="C60" s="152"/>
      <c r="D60" s="154"/>
    </row>
    <row r="61" spans="1:4" ht="29.25" customHeight="1">
      <c r="A61" s="9" t="s">
        <v>49</v>
      </c>
      <c r="B61" s="22" t="s">
        <v>83</v>
      </c>
      <c r="C61" s="152"/>
      <c r="D61" s="154"/>
    </row>
    <row r="62" spans="1:4" ht="16.5" customHeight="1">
      <c r="A62" s="9" t="s">
        <v>50</v>
      </c>
      <c r="B62" s="22" t="s">
        <v>83</v>
      </c>
      <c r="C62" s="152"/>
      <c r="D62" s="154"/>
    </row>
    <row r="63" spans="1:4" ht="39.75" customHeight="1">
      <c r="A63" s="10" t="s">
        <v>51</v>
      </c>
      <c r="B63" s="22" t="s">
        <v>22</v>
      </c>
      <c r="C63" s="152"/>
      <c r="D63" s="154"/>
    </row>
    <row r="64" spans="1:4" ht="16.5" customHeight="1">
      <c r="A64" s="10" t="s">
        <v>52</v>
      </c>
      <c r="B64" s="23" t="s">
        <v>84</v>
      </c>
      <c r="C64" s="152"/>
      <c r="D64" s="154"/>
    </row>
    <row r="65" spans="1:4">
      <c r="A65" s="157" t="s">
        <v>85</v>
      </c>
      <c r="B65" s="158"/>
      <c r="C65" s="158"/>
      <c r="D65" s="159"/>
    </row>
    <row r="66" spans="1:4" ht="26.25" customHeight="1">
      <c r="A66" s="175" t="s">
        <v>96</v>
      </c>
      <c r="B66" s="177" t="s">
        <v>86</v>
      </c>
      <c r="C66" s="152">
        <v>2.41</v>
      </c>
      <c r="D66" s="154">
        <f>C66*B8*12</f>
        <v>26985.252</v>
      </c>
    </row>
    <row r="67" spans="1:4" ht="13.5" customHeight="1">
      <c r="A67" s="176"/>
      <c r="B67" s="177"/>
      <c r="C67" s="152"/>
      <c r="D67" s="154"/>
    </row>
    <row r="68" spans="1:4" ht="15" customHeight="1">
      <c r="A68" s="157" t="s">
        <v>55</v>
      </c>
      <c r="B68" s="158"/>
      <c r="C68" s="158"/>
      <c r="D68" s="159"/>
    </row>
    <row r="69" spans="1:4" ht="16.5" customHeight="1">
      <c r="A69" s="6" t="s">
        <v>90</v>
      </c>
      <c r="B69" s="21" t="s">
        <v>87</v>
      </c>
      <c r="C69" s="170">
        <v>2.14</v>
      </c>
      <c r="D69" s="172">
        <v>23961.84</v>
      </c>
    </row>
    <row r="70" spans="1:4">
      <c r="A70" s="6" t="s">
        <v>91</v>
      </c>
      <c r="B70" s="21" t="s">
        <v>87</v>
      </c>
      <c r="C70" s="171"/>
      <c r="D70" s="173"/>
    </row>
    <row r="71" spans="1:4" ht="15" customHeight="1">
      <c r="A71" s="6" t="s">
        <v>92</v>
      </c>
      <c r="B71" s="21" t="s">
        <v>87</v>
      </c>
      <c r="C71" s="169"/>
      <c r="D71" s="174"/>
    </row>
    <row r="72" spans="1:4" ht="38.25" customHeight="1">
      <c r="A72" s="6" t="s">
        <v>143</v>
      </c>
      <c r="B72" s="22" t="s">
        <v>22</v>
      </c>
      <c r="C72" s="55">
        <v>4.3499999999999996</v>
      </c>
      <c r="D72" s="55">
        <v>48708.36</v>
      </c>
    </row>
    <row r="73" spans="1:4">
      <c r="A73" s="57" t="s">
        <v>56</v>
      </c>
      <c r="B73" s="23"/>
      <c r="C73" s="28">
        <f>C72+C69+C66+C59+C46+C42+C35+C28+C24+C17+C13</f>
        <v>21.619999999999997</v>
      </c>
      <c r="D73" s="28">
        <f>D72+D69+D66+D59+D46+D42+D35+D28+D24+D17+D13</f>
        <v>242084.03599999999</v>
      </c>
    </row>
    <row r="75" spans="1:4">
      <c r="D75" s="40"/>
    </row>
    <row r="76" spans="1:4">
      <c r="D76" s="40"/>
    </row>
    <row r="77" spans="1:4">
      <c r="D77" s="40"/>
    </row>
    <row r="78" spans="1:4">
      <c r="D78" s="40"/>
    </row>
  </sheetData>
  <mergeCells count="34">
    <mergeCell ref="A45:D45"/>
    <mergeCell ref="A68:D68"/>
    <mergeCell ref="C69:C71"/>
    <mergeCell ref="D69:D71"/>
    <mergeCell ref="A58:D58"/>
    <mergeCell ref="C59:C64"/>
    <mergeCell ref="D59:D64"/>
    <mergeCell ref="A65:D65"/>
    <mergeCell ref="A66:A67"/>
    <mergeCell ref="B66:B67"/>
    <mergeCell ref="C66:C67"/>
    <mergeCell ref="D66:D67"/>
    <mergeCell ref="C46:C57"/>
    <mergeCell ref="D46:D57"/>
    <mergeCell ref="A34:D34"/>
    <mergeCell ref="A12:D12"/>
    <mergeCell ref="A15:D15"/>
    <mergeCell ref="C17:C22"/>
    <mergeCell ref="D17:D22"/>
    <mergeCell ref="A23:D23"/>
    <mergeCell ref="D13:D14"/>
    <mergeCell ref="B13:B14"/>
    <mergeCell ref="C13:C14"/>
    <mergeCell ref="C24:C25"/>
    <mergeCell ref="D24:D25"/>
    <mergeCell ref="A26:D26"/>
    <mergeCell ref="A27:D27"/>
    <mergeCell ref="C28:C33"/>
    <mergeCell ref="D28:D33"/>
    <mergeCell ref="A41:D41"/>
    <mergeCell ref="C42:C44"/>
    <mergeCell ref="D42:D44"/>
    <mergeCell ref="C35:C40"/>
    <mergeCell ref="D35:D4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78"/>
  <sheetViews>
    <sheetView topLeftCell="A52" workbookViewId="0">
      <selection activeCell="D91" sqref="D91"/>
    </sheetView>
  </sheetViews>
  <sheetFormatPr defaultRowHeight="15"/>
  <cols>
    <col min="1" max="1" width="92.285156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135</v>
      </c>
      <c r="B2" s="2"/>
      <c r="C2" s="2"/>
      <c r="D2" s="2"/>
    </row>
    <row r="3" spans="1:4">
      <c r="A3" s="1" t="s">
        <v>268</v>
      </c>
      <c r="B3" s="2"/>
      <c r="C3" s="2"/>
      <c r="D3" s="2"/>
    </row>
    <row r="4" spans="1:4">
      <c r="A4" s="25" t="s">
        <v>58</v>
      </c>
      <c r="B4" s="2">
        <v>2013</v>
      </c>
      <c r="C4" s="2"/>
      <c r="D4" s="2"/>
    </row>
    <row r="5" spans="1:4">
      <c r="A5" s="25" t="s">
        <v>59</v>
      </c>
      <c r="B5" s="2">
        <v>3</v>
      </c>
      <c r="C5" s="2"/>
      <c r="D5" s="2"/>
    </row>
    <row r="6" spans="1:4">
      <c r="A6" s="25" t="s">
        <v>60</v>
      </c>
      <c r="B6" s="2">
        <v>2</v>
      </c>
      <c r="C6" s="2"/>
      <c r="D6" s="2"/>
    </row>
    <row r="7" spans="1:4">
      <c r="A7" s="25" t="s">
        <v>61</v>
      </c>
      <c r="B7" s="2">
        <v>29</v>
      </c>
      <c r="C7" s="2"/>
      <c r="D7" s="2"/>
    </row>
    <row r="8" spans="1:4">
      <c r="A8" s="25" t="s">
        <v>72</v>
      </c>
      <c r="B8" s="2">
        <v>938.7</v>
      </c>
      <c r="C8" s="2"/>
      <c r="D8" s="2"/>
    </row>
    <row r="9" spans="1:4">
      <c r="A9" s="25" t="s">
        <v>62</v>
      </c>
      <c r="B9" s="2">
        <v>150.6</v>
      </c>
      <c r="C9" s="2"/>
      <c r="D9" s="2"/>
    </row>
    <row r="10" spans="1:4">
      <c r="A10" s="25" t="s">
        <v>73</v>
      </c>
      <c r="B10" s="2">
        <v>368.3</v>
      </c>
      <c r="C10" s="2"/>
      <c r="D10" s="2"/>
    </row>
    <row r="11" spans="1:4" ht="36.75">
      <c r="A11" s="56" t="s">
        <v>1</v>
      </c>
      <c r="B11" s="56" t="s">
        <v>2</v>
      </c>
      <c r="C11" s="56" t="s">
        <v>3</v>
      </c>
      <c r="D11" s="56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1.72</v>
      </c>
      <c r="D13" s="163">
        <f>C13*12*B8</f>
        <v>19374.768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165" t="s">
        <v>10</v>
      </c>
      <c r="B15" s="165"/>
      <c r="C15" s="165"/>
      <c r="D15" s="165"/>
    </row>
    <row r="16" spans="1:4" ht="13.5" customHeight="1">
      <c r="A16" s="39" t="s">
        <v>97</v>
      </c>
      <c r="B16" s="57"/>
      <c r="C16" s="57"/>
      <c r="D16" s="57"/>
    </row>
    <row r="17" spans="1:4" ht="13.5" customHeight="1">
      <c r="A17" s="6" t="s">
        <v>11</v>
      </c>
      <c r="B17" s="56" t="s">
        <v>75</v>
      </c>
      <c r="C17" s="152">
        <v>2.16</v>
      </c>
      <c r="D17" s="166">
        <f>C17*B8*12</f>
        <v>24331.104000000003</v>
      </c>
    </row>
    <row r="18" spans="1:4" ht="12.75" customHeight="1">
      <c r="A18" s="6" t="s">
        <v>12</v>
      </c>
      <c r="B18" s="56" t="s">
        <v>75</v>
      </c>
      <c r="C18" s="152"/>
      <c r="D18" s="155"/>
    </row>
    <row r="19" spans="1:4" ht="14.25" customHeight="1">
      <c r="A19" s="6" t="s">
        <v>13</v>
      </c>
      <c r="B19" s="56" t="s">
        <v>75</v>
      </c>
      <c r="C19" s="152"/>
      <c r="D19" s="155"/>
    </row>
    <row r="20" spans="1:4" ht="13.5" customHeight="1">
      <c r="A20" s="6" t="s">
        <v>14</v>
      </c>
      <c r="B20" s="56" t="s">
        <v>76</v>
      </c>
      <c r="C20" s="152"/>
      <c r="D20" s="155"/>
    </row>
    <row r="21" spans="1:4" ht="12.75" customHeight="1">
      <c r="A21" s="39" t="s">
        <v>93</v>
      </c>
      <c r="B21" s="56"/>
      <c r="C21" s="152"/>
      <c r="D21" s="155"/>
    </row>
    <row r="22" spans="1:4" ht="30" customHeight="1">
      <c r="A22" s="6" t="s">
        <v>15</v>
      </c>
      <c r="B22" s="56" t="s">
        <v>94</v>
      </c>
      <c r="C22" s="152"/>
      <c r="D22" s="156"/>
    </row>
    <row r="23" spans="1:4" ht="12.75" customHeight="1">
      <c r="A23" s="157" t="s">
        <v>16</v>
      </c>
      <c r="B23" s="158"/>
      <c r="C23" s="158"/>
      <c r="D23" s="159"/>
    </row>
    <row r="24" spans="1:4" ht="12" customHeight="1">
      <c r="A24" s="7" t="s">
        <v>17</v>
      </c>
      <c r="B24" s="21" t="s">
        <v>78</v>
      </c>
      <c r="C24" s="152">
        <v>0.2</v>
      </c>
      <c r="D24" s="167">
        <f>C24*B8*12</f>
        <v>2252.88</v>
      </c>
    </row>
    <row r="25" spans="1:4" ht="12" customHeight="1">
      <c r="A25" s="7" t="s">
        <v>18</v>
      </c>
      <c r="B25" s="21" t="s">
        <v>77</v>
      </c>
      <c r="C25" s="152"/>
      <c r="D25" s="167"/>
    </row>
    <row r="26" spans="1:4" ht="13.5" customHeight="1">
      <c r="A26" s="157" t="s">
        <v>19</v>
      </c>
      <c r="B26" s="158"/>
      <c r="C26" s="158"/>
      <c r="D26" s="159"/>
    </row>
    <row r="27" spans="1:4">
      <c r="A27" s="167" t="s">
        <v>20</v>
      </c>
      <c r="B27" s="167"/>
      <c r="C27" s="167"/>
      <c r="D27" s="167"/>
    </row>
    <row r="28" spans="1:4" ht="37.5" customHeight="1">
      <c r="A28" s="8" t="s">
        <v>21</v>
      </c>
      <c r="B28" s="22" t="s">
        <v>79</v>
      </c>
      <c r="C28" s="152">
        <v>0.61</v>
      </c>
      <c r="D28" s="154">
        <f>C28*B8*12</f>
        <v>6871.2839999999997</v>
      </c>
    </row>
    <row r="29" spans="1:4" ht="15" customHeight="1">
      <c r="A29" s="9" t="s">
        <v>23</v>
      </c>
      <c r="B29" s="23" t="s">
        <v>80</v>
      </c>
      <c r="C29" s="152"/>
      <c r="D29" s="155"/>
    </row>
    <row r="30" spans="1:4" ht="13.5" customHeight="1">
      <c r="A30" s="9" t="s">
        <v>25</v>
      </c>
      <c r="B30" s="23" t="s">
        <v>80</v>
      </c>
      <c r="C30" s="152"/>
      <c r="D30" s="155"/>
    </row>
    <row r="31" spans="1:4" ht="36" customHeight="1">
      <c r="A31" s="9" t="s">
        <v>26</v>
      </c>
      <c r="B31" s="22" t="s">
        <v>22</v>
      </c>
      <c r="C31" s="152"/>
      <c r="D31" s="155"/>
    </row>
    <row r="32" spans="1:4" ht="14.25" customHeight="1">
      <c r="A32" s="9" t="s">
        <v>27</v>
      </c>
      <c r="B32" s="22" t="s">
        <v>88</v>
      </c>
      <c r="C32" s="152"/>
      <c r="D32" s="155"/>
    </row>
    <row r="33" spans="1:4" ht="33.75" customHeight="1">
      <c r="A33" s="24" t="s">
        <v>28</v>
      </c>
      <c r="B33" s="22" t="s">
        <v>22</v>
      </c>
      <c r="C33" s="153"/>
      <c r="D33" s="156"/>
    </row>
    <row r="34" spans="1:4" ht="15.75" customHeight="1">
      <c r="A34" s="167" t="s">
        <v>65</v>
      </c>
      <c r="B34" s="167"/>
      <c r="C34" s="167"/>
      <c r="D34" s="167"/>
    </row>
    <row r="35" spans="1:4" ht="36.75" customHeight="1">
      <c r="A35" s="9" t="s">
        <v>66</v>
      </c>
      <c r="B35" s="22" t="s">
        <v>79</v>
      </c>
      <c r="C35" s="154">
        <v>1</v>
      </c>
      <c r="D35" s="152">
        <f>C35*B8*12</f>
        <v>11264.400000000001</v>
      </c>
    </row>
    <row r="36" spans="1:4" ht="14.25" customHeight="1">
      <c r="A36" s="9" t="s">
        <v>67</v>
      </c>
      <c r="B36" s="22" t="s">
        <v>80</v>
      </c>
      <c r="C36" s="154"/>
      <c r="D36" s="168"/>
    </row>
    <row r="37" spans="1:4" ht="14.25" customHeight="1">
      <c r="A37" s="9" t="s">
        <v>68</v>
      </c>
      <c r="B37" s="22" t="s">
        <v>80</v>
      </c>
      <c r="C37" s="154"/>
      <c r="D37" s="168"/>
    </row>
    <row r="38" spans="1:4" ht="24" customHeight="1">
      <c r="A38" s="9" t="s">
        <v>69</v>
      </c>
      <c r="B38" s="22" t="s">
        <v>79</v>
      </c>
      <c r="C38" s="154"/>
      <c r="D38" s="168"/>
    </row>
    <row r="39" spans="1:4" ht="25.5" customHeight="1">
      <c r="A39" s="10" t="s">
        <v>70</v>
      </c>
      <c r="B39" s="22" t="s">
        <v>79</v>
      </c>
      <c r="C39" s="154"/>
      <c r="D39" s="168"/>
    </row>
    <row r="40" spans="1:4" ht="14.25" customHeight="1">
      <c r="A40" s="9" t="s">
        <v>71</v>
      </c>
      <c r="B40" s="22" t="s">
        <v>88</v>
      </c>
      <c r="C40" s="154"/>
      <c r="D40" s="162"/>
    </row>
    <row r="41" spans="1:4" ht="11.25" customHeight="1">
      <c r="A41" s="169" t="s">
        <v>29</v>
      </c>
      <c r="B41" s="169"/>
      <c r="C41" s="169"/>
      <c r="D41" s="169"/>
    </row>
    <row r="42" spans="1:4" ht="35.25" customHeight="1">
      <c r="A42" s="9" t="s">
        <v>30</v>
      </c>
      <c r="B42" s="22" t="s">
        <v>22</v>
      </c>
      <c r="C42" s="154">
        <v>0.69</v>
      </c>
      <c r="D42" s="152">
        <f>C42*12*B8</f>
        <v>7772.4359999999997</v>
      </c>
    </row>
    <row r="43" spans="1:4" ht="38.25" customHeight="1">
      <c r="A43" s="9" t="s">
        <v>31</v>
      </c>
      <c r="B43" s="22" t="s">
        <v>22</v>
      </c>
      <c r="C43" s="154"/>
      <c r="D43" s="152"/>
    </row>
    <row r="44" spans="1:4" ht="15" customHeight="1">
      <c r="A44" s="10" t="s">
        <v>32</v>
      </c>
      <c r="B44" s="22" t="s">
        <v>22</v>
      </c>
      <c r="C44" s="154"/>
      <c r="D44" s="152"/>
    </row>
    <row r="45" spans="1:4" ht="12.75" customHeight="1">
      <c r="A45" s="167" t="s">
        <v>33</v>
      </c>
      <c r="B45" s="167"/>
      <c r="C45" s="167"/>
      <c r="D45" s="167"/>
    </row>
    <row r="46" spans="1:4" ht="29.25" customHeight="1">
      <c r="A46" s="9" t="s">
        <v>34</v>
      </c>
      <c r="B46" s="22" t="s">
        <v>77</v>
      </c>
      <c r="C46" s="154">
        <v>3.77</v>
      </c>
      <c r="D46" s="154">
        <f>C46*12*B8-626.94</f>
        <v>41839.847999999998</v>
      </c>
    </row>
    <row r="47" spans="1:4" ht="14.25" customHeight="1">
      <c r="A47" s="9" t="s">
        <v>35</v>
      </c>
      <c r="B47" s="22" t="s">
        <v>81</v>
      </c>
      <c r="C47" s="154"/>
      <c r="D47" s="154"/>
    </row>
    <row r="48" spans="1:4" ht="17.25" customHeight="1">
      <c r="A48" s="9" t="s">
        <v>36</v>
      </c>
      <c r="B48" s="22" t="s">
        <v>81</v>
      </c>
      <c r="C48" s="154"/>
      <c r="D48" s="154"/>
    </row>
    <row r="49" spans="1:4" ht="24.75" customHeight="1">
      <c r="A49" s="9" t="s">
        <v>37</v>
      </c>
      <c r="B49" s="22" t="s">
        <v>82</v>
      </c>
      <c r="C49" s="154"/>
      <c r="D49" s="154"/>
    </row>
    <row r="50" spans="1:4" ht="30" customHeight="1">
      <c r="A50" s="9" t="s">
        <v>38</v>
      </c>
      <c r="B50" s="22" t="s">
        <v>82</v>
      </c>
      <c r="C50" s="154"/>
      <c r="D50" s="154"/>
    </row>
    <row r="51" spans="1:4" ht="12.75" customHeight="1">
      <c r="A51" s="57" t="s">
        <v>95</v>
      </c>
      <c r="B51" s="6"/>
      <c r="C51" s="154"/>
      <c r="D51" s="154"/>
    </row>
    <row r="52" spans="1:4" ht="35.25" customHeight="1">
      <c r="A52" s="9" t="s">
        <v>40</v>
      </c>
      <c r="B52" s="22" t="s">
        <v>79</v>
      </c>
      <c r="C52" s="154"/>
      <c r="D52" s="154"/>
    </row>
    <row r="53" spans="1:4" ht="14.25" customHeight="1">
      <c r="A53" s="9" t="s">
        <v>41</v>
      </c>
      <c r="B53" s="22" t="s">
        <v>24</v>
      </c>
      <c r="C53" s="154"/>
      <c r="D53" s="154"/>
    </row>
    <row r="54" spans="1:4" ht="14.25" customHeight="1">
      <c r="A54" s="9" t="s">
        <v>42</v>
      </c>
      <c r="B54" s="23" t="s">
        <v>24</v>
      </c>
      <c r="C54" s="154"/>
      <c r="D54" s="154"/>
    </row>
    <row r="55" spans="1:4" ht="13.5" customHeight="1">
      <c r="A55" s="9" t="s">
        <v>43</v>
      </c>
      <c r="B55" s="23" t="s">
        <v>24</v>
      </c>
      <c r="C55" s="154"/>
      <c r="D55" s="154"/>
    </row>
    <row r="56" spans="1:4" ht="13.5" customHeight="1">
      <c r="A56" s="9" t="s">
        <v>44</v>
      </c>
      <c r="B56" s="21" t="s">
        <v>132</v>
      </c>
      <c r="C56" s="154"/>
      <c r="D56" s="154"/>
    </row>
    <row r="57" spans="1:4" ht="36.75" customHeight="1">
      <c r="A57" s="10" t="s">
        <v>45</v>
      </c>
      <c r="B57" s="22" t="s">
        <v>22</v>
      </c>
      <c r="C57" s="154"/>
      <c r="D57" s="154"/>
    </row>
    <row r="58" spans="1:4">
      <c r="A58" s="167" t="s">
        <v>46</v>
      </c>
      <c r="B58" s="167"/>
      <c r="C58" s="167"/>
      <c r="D58" s="167"/>
    </row>
    <row r="59" spans="1:4" ht="15.75" customHeight="1">
      <c r="A59" s="9" t="s">
        <v>47</v>
      </c>
      <c r="B59" s="22" t="s">
        <v>83</v>
      </c>
      <c r="C59" s="152">
        <v>2.57</v>
      </c>
      <c r="D59" s="154">
        <f>C59*B8*12</f>
        <v>28949.507999999998</v>
      </c>
    </row>
    <row r="60" spans="1:4" ht="12.75" customHeight="1">
      <c r="A60" s="9" t="s">
        <v>48</v>
      </c>
      <c r="B60" s="22" t="s">
        <v>83</v>
      </c>
      <c r="C60" s="152"/>
      <c r="D60" s="154"/>
    </row>
    <row r="61" spans="1:4" ht="27.75" customHeight="1">
      <c r="A61" s="9" t="s">
        <v>49</v>
      </c>
      <c r="B61" s="22" t="s">
        <v>83</v>
      </c>
      <c r="C61" s="152"/>
      <c r="D61" s="154"/>
    </row>
    <row r="62" spans="1:4" ht="16.5" customHeight="1">
      <c r="A62" s="9" t="s">
        <v>50</v>
      </c>
      <c r="B62" s="22" t="s">
        <v>83</v>
      </c>
      <c r="C62" s="152"/>
      <c r="D62" s="154"/>
    </row>
    <row r="63" spans="1:4" ht="39.75" customHeight="1">
      <c r="A63" s="10" t="s">
        <v>51</v>
      </c>
      <c r="B63" s="22" t="s">
        <v>22</v>
      </c>
      <c r="C63" s="152"/>
      <c r="D63" s="154"/>
    </row>
    <row r="64" spans="1:4" ht="16.5" customHeight="1">
      <c r="A64" s="10" t="s">
        <v>52</v>
      </c>
      <c r="B64" s="23" t="s">
        <v>84</v>
      </c>
      <c r="C64" s="152"/>
      <c r="D64" s="154"/>
    </row>
    <row r="65" spans="1:4">
      <c r="A65" s="157" t="s">
        <v>85</v>
      </c>
      <c r="B65" s="158"/>
      <c r="C65" s="158"/>
      <c r="D65" s="159"/>
    </row>
    <row r="66" spans="1:4" ht="26.25" customHeight="1">
      <c r="A66" s="175" t="s">
        <v>96</v>
      </c>
      <c r="B66" s="177" t="s">
        <v>86</v>
      </c>
      <c r="C66" s="152">
        <v>2.41</v>
      </c>
      <c r="D66" s="154">
        <f>C66*B8*12</f>
        <v>27147.204000000005</v>
      </c>
    </row>
    <row r="67" spans="1:4" ht="13.5" customHeight="1">
      <c r="A67" s="176"/>
      <c r="B67" s="177"/>
      <c r="C67" s="152"/>
      <c r="D67" s="154"/>
    </row>
    <row r="68" spans="1:4" ht="15" customHeight="1">
      <c r="A68" s="157" t="s">
        <v>55</v>
      </c>
      <c r="B68" s="158"/>
      <c r="C68" s="158"/>
      <c r="D68" s="159"/>
    </row>
    <row r="69" spans="1:4" ht="16.5" customHeight="1">
      <c r="A69" s="6" t="s">
        <v>90</v>
      </c>
      <c r="B69" s="21" t="s">
        <v>87</v>
      </c>
      <c r="C69" s="170">
        <v>2.14</v>
      </c>
      <c r="D69" s="172">
        <v>24105.84</v>
      </c>
    </row>
    <row r="70" spans="1:4">
      <c r="A70" s="6" t="s">
        <v>91</v>
      </c>
      <c r="B70" s="21" t="s">
        <v>87</v>
      </c>
      <c r="C70" s="171"/>
      <c r="D70" s="173"/>
    </row>
    <row r="71" spans="1:4" ht="15" customHeight="1">
      <c r="A71" s="6" t="s">
        <v>92</v>
      </c>
      <c r="B71" s="21" t="s">
        <v>87</v>
      </c>
      <c r="C71" s="169"/>
      <c r="D71" s="174"/>
    </row>
    <row r="72" spans="1:4" ht="38.25" customHeight="1">
      <c r="A72" s="6" t="s">
        <v>143</v>
      </c>
      <c r="B72" s="22" t="s">
        <v>22</v>
      </c>
      <c r="C72" s="55">
        <v>4.3499999999999996</v>
      </c>
      <c r="D72" s="139">
        <f>49000.92+626.93</f>
        <v>49627.85</v>
      </c>
    </row>
    <row r="73" spans="1:4">
      <c r="A73" s="57" t="s">
        <v>56</v>
      </c>
      <c r="B73" s="23"/>
      <c r="C73" s="28">
        <f>C72+C69+C66+C59+C46+C42+C35+C28+C24+C17+C13</f>
        <v>21.619999999999997</v>
      </c>
      <c r="D73" s="28">
        <f>D72+D69+D66+D59+D46+D42+D35+D28+D24+D17+D13</f>
        <v>243537.122</v>
      </c>
    </row>
    <row r="75" spans="1:4">
      <c r="D75" s="40"/>
    </row>
    <row r="76" spans="1:4">
      <c r="D76" s="40"/>
    </row>
    <row r="77" spans="1:4">
      <c r="D77" s="40"/>
    </row>
    <row r="78" spans="1:4">
      <c r="D78" s="40"/>
    </row>
  </sheetData>
  <mergeCells count="34">
    <mergeCell ref="A45:D45"/>
    <mergeCell ref="A68:D68"/>
    <mergeCell ref="C69:C71"/>
    <mergeCell ref="D69:D71"/>
    <mergeCell ref="A58:D58"/>
    <mergeCell ref="C59:C64"/>
    <mergeCell ref="D59:D64"/>
    <mergeCell ref="A65:D65"/>
    <mergeCell ref="A66:A67"/>
    <mergeCell ref="B66:B67"/>
    <mergeCell ref="C66:C67"/>
    <mergeCell ref="D66:D67"/>
    <mergeCell ref="C46:C57"/>
    <mergeCell ref="D46:D57"/>
    <mergeCell ref="A34:D34"/>
    <mergeCell ref="A12:D12"/>
    <mergeCell ref="A15:D15"/>
    <mergeCell ref="C17:C22"/>
    <mergeCell ref="D17:D22"/>
    <mergeCell ref="A23:D23"/>
    <mergeCell ref="D13:D14"/>
    <mergeCell ref="B13:B14"/>
    <mergeCell ref="C13:C14"/>
    <mergeCell ref="C24:C25"/>
    <mergeCell ref="D24:D25"/>
    <mergeCell ref="A26:D26"/>
    <mergeCell ref="A27:D27"/>
    <mergeCell ref="C28:C33"/>
    <mergeCell ref="D28:D33"/>
    <mergeCell ref="A41:D41"/>
    <mergeCell ref="C42:C44"/>
    <mergeCell ref="D42:D44"/>
    <mergeCell ref="C35:C40"/>
    <mergeCell ref="D35:D4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78"/>
  <sheetViews>
    <sheetView topLeftCell="A40" workbookViewId="0">
      <selection activeCell="E76" sqref="E76"/>
    </sheetView>
  </sheetViews>
  <sheetFormatPr defaultRowHeight="15"/>
  <cols>
    <col min="1" max="1" width="88.8554687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133</v>
      </c>
      <c r="B2" s="2"/>
      <c r="C2" s="2"/>
      <c r="D2" s="2"/>
    </row>
    <row r="3" spans="1:4">
      <c r="A3" s="1" t="s">
        <v>285</v>
      </c>
      <c r="B3" s="2"/>
      <c r="C3" s="2"/>
      <c r="D3" s="2"/>
    </row>
    <row r="4" spans="1:4">
      <c r="A4" s="25" t="s">
        <v>58</v>
      </c>
      <c r="B4" s="2">
        <v>2013</v>
      </c>
      <c r="C4" s="2"/>
      <c r="D4" s="2"/>
    </row>
    <row r="5" spans="1:4">
      <c r="A5" s="25" t="s">
        <v>59</v>
      </c>
      <c r="B5" s="2">
        <v>3</v>
      </c>
      <c r="C5" s="2"/>
      <c r="D5" s="2"/>
    </row>
    <row r="6" spans="1:4">
      <c r="A6" s="25" t="s">
        <v>60</v>
      </c>
      <c r="B6" s="2">
        <v>2</v>
      </c>
      <c r="C6" s="2"/>
      <c r="D6" s="2"/>
    </row>
    <row r="7" spans="1:4">
      <c r="A7" s="25" t="s">
        <v>61</v>
      </c>
      <c r="B7" s="2">
        <v>18</v>
      </c>
      <c r="C7" s="2"/>
      <c r="D7" s="2"/>
    </row>
    <row r="8" spans="1:4">
      <c r="A8" s="25" t="s">
        <v>72</v>
      </c>
      <c r="B8" s="2">
        <v>997.5</v>
      </c>
      <c r="C8" s="2"/>
      <c r="D8" s="2"/>
    </row>
    <row r="9" spans="1:4">
      <c r="A9" s="25" t="s">
        <v>62</v>
      </c>
      <c r="B9" s="2">
        <v>104</v>
      </c>
      <c r="C9" s="2"/>
      <c r="D9" s="2"/>
    </row>
    <row r="10" spans="1:4">
      <c r="A10" s="25" t="s">
        <v>73</v>
      </c>
      <c r="B10" s="2">
        <v>383.4</v>
      </c>
      <c r="C10" s="2"/>
      <c r="D10" s="2"/>
    </row>
    <row r="11" spans="1:4" ht="36.75">
      <c r="A11" s="56" t="s">
        <v>1</v>
      </c>
      <c r="B11" s="56" t="s">
        <v>2</v>
      </c>
      <c r="C11" s="56" t="s">
        <v>3</v>
      </c>
      <c r="D11" s="56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1.72</v>
      </c>
      <c r="D13" s="163">
        <f>C13*12*B8</f>
        <v>20588.400000000001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165" t="s">
        <v>10</v>
      </c>
      <c r="B15" s="165"/>
      <c r="C15" s="165"/>
      <c r="D15" s="165"/>
    </row>
    <row r="16" spans="1:4" ht="13.5" customHeight="1">
      <c r="A16" s="39" t="s">
        <v>97</v>
      </c>
      <c r="B16" s="57"/>
      <c r="C16" s="57"/>
      <c r="D16" s="57"/>
    </row>
    <row r="17" spans="1:4" ht="13.5" customHeight="1">
      <c r="A17" s="6" t="s">
        <v>11</v>
      </c>
      <c r="B17" s="56" t="s">
        <v>75</v>
      </c>
      <c r="C17" s="152">
        <v>2.16</v>
      </c>
      <c r="D17" s="166">
        <f>C17*B8*12</f>
        <v>25855.200000000004</v>
      </c>
    </row>
    <row r="18" spans="1:4" ht="12.75" customHeight="1">
      <c r="A18" s="6" t="s">
        <v>12</v>
      </c>
      <c r="B18" s="56" t="s">
        <v>75</v>
      </c>
      <c r="C18" s="152"/>
      <c r="D18" s="155"/>
    </row>
    <row r="19" spans="1:4" ht="14.25" customHeight="1">
      <c r="A19" s="6" t="s">
        <v>13</v>
      </c>
      <c r="B19" s="56" t="s">
        <v>75</v>
      </c>
      <c r="C19" s="152"/>
      <c r="D19" s="155"/>
    </row>
    <row r="20" spans="1:4" ht="13.5" customHeight="1">
      <c r="A20" s="6" t="s">
        <v>14</v>
      </c>
      <c r="B20" s="56" t="s">
        <v>76</v>
      </c>
      <c r="C20" s="152"/>
      <c r="D20" s="155"/>
    </row>
    <row r="21" spans="1:4" ht="12.75" customHeight="1">
      <c r="A21" s="39" t="s">
        <v>93</v>
      </c>
      <c r="B21" s="56"/>
      <c r="C21" s="152"/>
      <c r="D21" s="155"/>
    </row>
    <row r="22" spans="1:4" ht="30" customHeight="1">
      <c r="A22" s="6" t="s">
        <v>15</v>
      </c>
      <c r="B22" s="56" t="s">
        <v>94</v>
      </c>
      <c r="C22" s="152"/>
      <c r="D22" s="156"/>
    </row>
    <row r="23" spans="1:4" ht="12.75" customHeight="1">
      <c r="A23" s="157" t="s">
        <v>16</v>
      </c>
      <c r="B23" s="158"/>
      <c r="C23" s="158"/>
      <c r="D23" s="159"/>
    </row>
    <row r="24" spans="1:4" ht="12" customHeight="1">
      <c r="A24" s="7" t="s">
        <v>17</v>
      </c>
      <c r="B24" s="21" t="s">
        <v>78</v>
      </c>
      <c r="C24" s="152">
        <v>0.2</v>
      </c>
      <c r="D24" s="167">
        <f>C24*B8*12</f>
        <v>2394</v>
      </c>
    </row>
    <row r="25" spans="1:4" ht="12" customHeight="1">
      <c r="A25" s="7" t="s">
        <v>18</v>
      </c>
      <c r="B25" s="21" t="s">
        <v>77</v>
      </c>
      <c r="C25" s="152"/>
      <c r="D25" s="167"/>
    </row>
    <row r="26" spans="1:4" ht="13.5" customHeight="1">
      <c r="A26" s="157" t="s">
        <v>19</v>
      </c>
      <c r="B26" s="158"/>
      <c r="C26" s="158"/>
      <c r="D26" s="159"/>
    </row>
    <row r="27" spans="1:4">
      <c r="A27" s="167" t="s">
        <v>20</v>
      </c>
      <c r="B27" s="167"/>
      <c r="C27" s="167"/>
      <c r="D27" s="167"/>
    </row>
    <row r="28" spans="1:4" ht="37.5" customHeight="1">
      <c r="A28" s="8" t="s">
        <v>21</v>
      </c>
      <c r="B28" s="22" t="s">
        <v>79</v>
      </c>
      <c r="C28" s="152">
        <v>0.79</v>
      </c>
      <c r="D28" s="154">
        <f>C28*B8*12</f>
        <v>9456.3000000000011</v>
      </c>
    </row>
    <row r="29" spans="1:4" ht="15" customHeight="1">
      <c r="A29" s="9" t="s">
        <v>23</v>
      </c>
      <c r="B29" s="23" t="s">
        <v>80</v>
      </c>
      <c r="C29" s="152"/>
      <c r="D29" s="155"/>
    </row>
    <row r="30" spans="1:4" ht="13.5" customHeight="1">
      <c r="A30" s="9" t="s">
        <v>25</v>
      </c>
      <c r="B30" s="23" t="s">
        <v>80</v>
      </c>
      <c r="C30" s="152"/>
      <c r="D30" s="155"/>
    </row>
    <row r="31" spans="1:4" ht="36" customHeight="1">
      <c r="A31" s="9" t="s">
        <v>26</v>
      </c>
      <c r="B31" s="22" t="s">
        <v>22</v>
      </c>
      <c r="C31" s="152"/>
      <c r="D31" s="155"/>
    </row>
    <row r="32" spans="1:4" ht="14.25" customHeight="1">
      <c r="A32" s="9" t="s">
        <v>27</v>
      </c>
      <c r="B32" s="22" t="s">
        <v>88</v>
      </c>
      <c r="C32" s="152"/>
      <c r="D32" s="155"/>
    </row>
    <row r="33" spans="1:4" ht="33.75" customHeight="1">
      <c r="A33" s="24" t="s">
        <v>28</v>
      </c>
      <c r="B33" s="22" t="s">
        <v>22</v>
      </c>
      <c r="C33" s="153"/>
      <c r="D33" s="156"/>
    </row>
    <row r="34" spans="1:4" ht="15.75" customHeight="1">
      <c r="A34" s="167" t="s">
        <v>65</v>
      </c>
      <c r="B34" s="167"/>
      <c r="C34" s="167"/>
      <c r="D34" s="167"/>
    </row>
    <row r="35" spans="1:4" ht="36.75" customHeight="1">
      <c r="A35" s="9" t="s">
        <v>66</v>
      </c>
      <c r="B35" s="22" t="s">
        <v>79</v>
      </c>
      <c r="C35" s="154">
        <v>1.29</v>
      </c>
      <c r="D35" s="152">
        <f>C35*B8*12</f>
        <v>15441.300000000001</v>
      </c>
    </row>
    <row r="36" spans="1:4" ht="14.25" customHeight="1">
      <c r="A36" s="9" t="s">
        <v>67</v>
      </c>
      <c r="B36" s="22" t="s">
        <v>80</v>
      </c>
      <c r="C36" s="154"/>
      <c r="D36" s="168"/>
    </row>
    <row r="37" spans="1:4" ht="14.25" customHeight="1">
      <c r="A37" s="9" t="s">
        <v>68</v>
      </c>
      <c r="B37" s="22" t="s">
        <v>80</v>
      </c>
      <c r="C37" s="154"/>
      <c r="D37" s="168"/>
    </row>
    <row r="38" spans="1:4" ht="24" customHeight="1">
      <c r="A38" s="9" t="s">
        <v>69</v>
      </c>
      <c r="B38" s="22" t="s">
        <v>79</v>
      </c>
      <c r="C38" s="154"/>
      <c r="D38" s="168"/>
    </row>
    <row r="39" spans="1:4" ht="25.5" customHeight="1">
      <c r="A39" s="10" t="s">
        <v>70</v>
      </c>
      <c r="B39" s="22" t="s">
        <v>79</v>
      </c>
      <c r="C39" s="154"/>
      <c r="D39" s="168"/>
    </row>
    <row r="40" spans="1:4" ht="14.25" customHeight="1">
      <c r="A40" s="9" t="s">
        <v>71</v>
      </c>
      <c r="B40" s="22" t="s">
        <v>88</v>
      </c>
      <c r="C40" s="154"/>
      <c r="D40" s="162"/>
    </row>
    <row r="41" spans="1:4" ht="11.25" customHeight="1">
      <c r="A41" s="169" t="s">
        <v>29</v>
      </c>
      <c r="B41" s="169"/>
      <c r="C41" s="169"/>
      <c r="D41" s="169"/>
    </row>
    <row r="42" spans="1:4" ht="35.25" customHeight="1">
      <c r="A42" s="9" t="s">
        <v>30</v>
      </c>
      <c r="B42" s="22" t="s">
        <v>22</v>
      </c>
      <c r="C42" s="154">
        <v>0.91</v>
      </c>
      <c r="D42" s="152">
        <f>C42*12*B8</f>
        <v>10892.7</v>
      </c>
    </row>
    <row r="43" spans="1:4" ht="38.25" customHeight="1">
      <c r="A43" s="9" t="s">
        <v>31</v>
      </c>
      <c r="B43" s="22" t="s">
        <v>22</v>
      </c>
      <c r="C43" s="154"/>
      <c r="D43" s="152"/>
    </row>
    <row r="44" spans="1:4" ht="15" customHeight="1">
      <c r="A44" s="10" t="s">
        <v>32</v>
      </c>
      <c r="B44" s="22" t="s">
        <v>22</v>
      </c>
      <c r="C44" s="154"/>
      <c r="D44" s="152"/>
    </row>
    <row r="45" spans="1:4" ht="12.75" customHeight="1">
      <c r="A45" s="167" t="s">
        <v>33</v>
      </c>
      <c r="B45" s="167"/>
      <c r="C45" s="167"/>
      <c r="D45" s="167"/>
    </row>
    <row r="46" spans="1:4" ht="29.25" customHeight="1">
      <c r="A46" s="9" t="s">
        <v>34</v>
      </c>
      <c r="B46" s="22" t="s">
        <v>77</v>
      </c>
      <c r="C46" s="154">
        <v>3.38</v>
      </c>
      <c r="D46" s="154">
        <f>C46*12*B8-0.06</f>
        <v>40458.540000000008</v>
      </c>
    </row>
    <row r="47" spans="1:4" ht="14.25" customHeight="1">
      <c r="A47" s="9" t="s">
        <v>35</v>
      </c>
      <c r="B47" s="22" t="s">
        <v>81</v>
      </c>
      <c r="C47" s="154"/>
      <c r="D47" s="154"/>
    </row>
    <row r="48" spans="1:4" ht="17.25" customHeight="1">
      <c r="A48" s="9" t="s">
        <v>36</v>
      </c>
      <c r="B48" s="22" t="s">
        <v>81</v>
      </c>
      <c r="C48" s="154"/>
      <c r="D48" s="154"/>
    </row>
    <row r="49" spans="1:4" ht="24.75" customHeight="1">
      <c r="A49" s="9" t="s">
        <v>37</v>
      </c>
      <c r="B49" s="22" t="s">
        <v>82</v>
      </c>
      <c r="C49" s="154"/>
      <c r="D49" s="154"/>
    </row>
    <row r="50" spans="1:4" ht="30" customHeight="1">
      <c r="A50" s="9" t="s">
        <v>38</v>
      </c>
      <c r="B50" s="22" t="s">
        <v>82</v>
      </c>
      <c r="C50" s="154"/>
      <c r="D50" s="154"/>
    </row>
    <row r="51" spans="1:4" ht="12.75" customHeight="1">
      <c r="A51" s="57" t="s">
        <v>95</v>
      </c>
      <c r="B51" s="6"/>
      <c r="C51" s="154"/>
      <c r="D51" s="154"/>
    </row>
    <row r="52" spans="1:4" ht="35.25" customHeight="1">
      <c r="A52" s="9" t="s">
        <v>40</v>
      </c>
      <c r="B52" s="22" t="s">
        <v>79</v>
      </c>
      <c r="C52" s="154"/>
      <c r="D52" s="154"/>
    </row>
    <row r="53" spans="1:4" ht="14.25" customHeight="1">
      <c r="A53" s="9" t="s">
        <v>41</v>
      </c>
      <c r="B53" s="22" t="s">
        <v>24</v>
      </c>
      <c r="C53" s="154"/>
      <c r="D53" s="154"/>
    </row>
    <row r="54" spans="1:4" ht="14.25" customHeight="1">
      <c r="A54" s="9" t="s">
        <v>42</v>
      </c>
      <c r="B54" s="23" t="s">
        <v>24</v>
      </c>
      <c r="C54" s="154"/>
      <c r="D54" s="154"/>
    </row>
    <row r="55" spans="1:4" ht="13.5" customHeight="1">
      <c r="A55" s="9" t="s">
        <v>43</v>
      </c>
      <c r="B55" s="23" t="s">
        <v>24</v>
      </c>
      <c r="C55" s="154"/>
      <c r="D55" s="154"/>
    </row>
    <row r="56" spans="1:4" ht="13.5" customHeight="1">
      <c r="A56" s="9" t="s">
        <v>44</v>
      </c>
      <c r="B56" s="21" t="s">
        <v>134</v>
      </c>
      <c r="C56" s="154"/>
      <c r="D56" s="154"/>
    </row>
    <row r="57" spans="1:4" ht="36.75" customHeight="1">
      <c r="A57" s="10" t="s">
        <v>45</v>
      </c>
      <c r="B57" s="22" t="s">
        <v>22</v>
      </c>
      <c r="C57" s="154"/>
      <c r="D57" s="154"/>
    </row>
    <row r="58" spans="1:4">
      <c r="A58" s="167" t="s">
        <v>46</v>
      </c>
      <c r="B58" s="167"/>
      <c r="C58" s="167"/>
      <c r="D58" s="167"/>
    </row>
    <row r="59" spans="1:4" ht="15.75" customHeight="1">
      <c r="A59" s="9" t="s">
        <v>47</v>
      </c>
      <c r="B59" s="22" t="s">
        <v>83</v>
      </c>
      <c r="C59" s="152">
        <v>2.27</v>
      </c>
      <c r="D59" s="154">
        <f>C59*B8*12</f>
        <v>27171.899999999998</v>
      </c>
    </row>
    <row r="60" spans="1:4" ht="12.75" customHeight="1">
      <c r="A60" s="9" t="s">
        <v>48</v>
      </c>
      <c r="B60" s="22" t="s">
        <v>83</v>
      </c>
      <c r="C60" s="152"/>
      <c r="D60" s="154"/>
    </row>
    <row r="61" spans="1:4" ht="26.25" customHeight="1">
      <c r="A61" s="9" t="s">
        <v>49</v>
      </c>
      <c r="B61" s="22" t="s">
        <v>83</v>
      </c>
      <c r="C61" s="152"/>
      <c r="D61" s="154"/>
    </row>
    <row r="62" spans="1:4" ht="16.5" customHeight="1">
      <c r="A62" s="9" t="s">
        <v>50</v>
      </c>
      <c r="B62" s="22" t="s">
        <v>83</v>
      </c>
      <c r="C62" s="152"/>
      <c r="D62" s="154"/>
    </row>
    <row r="63" spans="1:4" ht="39.75" customHeight="1">
      <c r="A63" s="10" t="s">
        <v>51</v>
      </c>
      <c r="B63" s="22" t="s">
        <v>22</v>
      </c>
      <c r="C63" s="152"/>
      <c r="D63" s="154"/>
    </row>
    <row r="64" spans="1:4" ht="16.5" customHeight="1">
      <c r="A64" s="10" t="s">
        <v>52</v>
      </c>
      <c r="B64" s="23" t="s">
        <v>84</v>
      </c>
      <c r="C64" s="152"/>
      <c r="D64" s="154"/>
    </row>
    <row r="65" spans="1:4">
      <c r="A65" s="157" t="s">
        <v>85</v>
      </c>
      <c r="B65" s="158"/>
      <c r="C65" s="158"/>
      <c r="D65" s="159"/>
    </row>
    <row r="66" spans="1:4" ht="26.25" customHeight="1">
      <c r="A66" s="175" t="s">
        <v>96</v>
      </c>
      <c r="B66" s="177" t="s">
        <v>86</v>
      </c>
      <c r="C66" s="152">
        <v>2.41</v>
      </c>
      <c r="D66" s="154">
        <f>C66*B8*12</f>
        <v>28847.700000000004</v>
      </c>
    </row>
    <row r="67" spans="1:4" ht="13.5" customHeight="1">
      <c r="A67" s="176"/>
      <c r="B67" s="177"/>
      <c r="C67" s="152"/>
      <c r="D67" s="154"/>
    </row>
    <row r="68" spans="1:4" ht="15" customHeight="1">
      <c r="A68" s="157" t="s">
        <v>55</v>
      </c>
      <c r="B68" s="158"/>
      <c r="C68" s="158"/>
      <c r="D68" s="159"/>
    </row>
    <row r="69" spans="1:4" ht="16.5" customHeight="1">
      <c r="A69" s="6" t="s">
        <v>90</v>
      </c>
      <c r="B69" s="21" t="s">
        <v>87</v>
      </c>
      <c r="C69" s="170">
        <v>2.14</v>
      </c>
      <c r="D69" s="172">
        <f>C69*12*B8</f>
        <v>25615.8</v>
      </c>
    </row>
    <row r="70" spans="1:4">
      <c r="A70" s="6" t="s">
        <v>91</v>
      </c>
      <c r="B70" s="21" t="s">
        <v>87</v>
      </c>
      <c r="C70" s="171"/>
      <c r="D70" s="173"/>
    </row>
    <row r="71" spans="1:4" ht="15" customHeight="1">
      <c r="A71" s="6" t="s">
        <v>92</v>
      </c>
      <c r="B71" s="21" t="s">
        <v>87</v>
      </c>
      <c r="C71" s="169"/>
      <c r="D71" s="174"/>
    </row>
    <row r="72" spans="1:4" ht="38.25" customHeight="1">
      <c r="A72" s="6" t="s">
        <v>143</v>
      </c>
      <c r="B72" s="22" t="s">
        <v>22</v>
      </c>
      <c r="C72" s="55">
        <v>4.3499999999999996</v>
      </c>
      <c r="D72" s="55">
        <v>52070.04</v>
      </c>
    </row>
    <row r="73" spans="1:4">
      <c r="A73" s="57" t="s">
        <v>56</v>
      </c>
      <c r="B73" s="23"/>
      <c r="C73" s="28">
        <f>C72+C69+C66+C59+C46+C42+C35+C28+C24+C17+C13</f>
        <v>21.619999999999997</v>
      </c>
      <c r="D73" s="28">
        <f>D72+D69+D66+D59+D46+D42+D35+D28+D24+D17+D13</f>
        <v>258791.88</v>
      </c>
    </row>
    <row r="75" spans="1:4">
      <c r="D75" s="40"/>
    </row>
    <row r="76" spans="1:4">
      <c r="D76" s="40"/>
    </row>
    <row r="77" spans="1:4">
      <c r="D77" s="40"/>
    </row>
    <row r="78" spans="1:4">
      <c r="D78" s="40"/>
    </row>
  </sheetData>
  <mergeCells count="34">
    <mergeCell ref="A45:D45"/>
    <mergeCell ref="A68:D68"/>
    <mergeCell ref="C69:C71"/>
    <mergeCell ref="D69:D71"/>
    <mergeCell ref="A58:D58"/>
    <mergeCell ref="C59:C64"/>
    <mergeCell ref="D59:D64"/>
    <mergeCell ref="A65:D65"/>
    <mergeCell ref="A66:A67"/>
    <mergeCell ref="B66:B67"/>
    <mergeCell ref="C66:C67"/>
    <mergeCell ref="D66:D67"/>
    <mergeCell ref="C46:C57"/>
    <mergeCell ref="D46:D57"/>
    <mergeCell ref="A34:D34"/>
    <mergeCell ref="A12:D12"/>
    <mergeCell ref="A15:D15"/>
    <mergeCell ref="C17:C22"/>
    <mergeCell ref="D17:D22"/>
    <mergeCell ref="A23:D23"/>
    <mergeCell ref="D13:D14"/>
    <mergeCell ref="B13:B14"/>
    <mergeCell ref="C13:C14"/>
    <mergeCell ref="C24:C25"/>
    <mergeCell ref="D24:D25"/>
    <mergeCell ref="A26:D26"/>
    <mergeCell ref="A27:D27"/>
    <mergeCell ref="C28:C33"/>
    <mergeCell ref="D28:D33"/>
    <mergeCell ref="A41:D41"/>
    <mergeCell ref="C42:C44"/>
    <mergeCell ref="D42:D44"/>
    <mergeCell ref="C35:C40"/>
    <mergeCell ref="D35:D4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80"/>
  <sheetViews>
    <sheetView topLeftCell="A43" workbookViewId="0">
      <selection activeCell="A13" sqref="A13:D14"/>
    </sheetView>
  </sheetViews>
  <sheetFormatPr defaultRowHeight="15"/>
  <cols>
    <col min="1" max="1" width="90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131</v>
      </c>
      <c r="B2" s="2"/>
      <c r="C2" s="2"/>
      <c r="D2" s="2"/>
    </row>
    <row r="3" spans="1:4">
      <c r="A3" s="1" t="s">
        <v>57</v>
      </c>
      <c r="B3" s="2"/>
      <c r="C3" s="2"/>
      <c r="D3" s="2"/>
    </row>
    <row r="4" spans="1:4">
      <c r="A4" s="25" t="s">
        <v>58</v>
      </c>
      <c r="B4" s="2">
        <v>2013</v>
      </c>
      <c r="C4" s="2"/>
      <c r="D4" s="2"/>
    </row>
    <row r="5" spans="1:4">
      <c r="A5" s="25" t="s">
        <v>59</v>
      </c>
      <c r="B5" s="2">
        <v>3</v>
      </c>
      <c r="C5" s="2"/>
      <c r="D5" s="2"/>
    </row>
    <row r="6" spans="1:4">
      <c r="A6" s="25" t="s">
        <v>60</v>
      </c>
      <c r="B6" s="2">
        <v>1</v>
      </c>
      <c r="C6" s="2"/>
      <c r="D6" s="2"/>
    </row>
    <row r="7" spans="1:4">
      <c r="A7" s="25" t="s">
        <v>61</v>
      </c>
      <c r="B7" s="2">
        <v>9</v>
      </c>
      <c r="C7" s="2"/>
      <c r="D7" s="2"/>
    </row>
    <row r="8" spans="1:4">
      <c r="A8" s="25" t="s">
        <v>72</v>
      </c>
      <c r="B8" s="2">
        <v>370.4</v>
      </c>
      <c r="C8" s="2"/>
      <c r="D8" s="2"/>
    </row>
    <row r="9" spans="1:4">
      <c r="A9" s="25" t="s">
        <v>62</v>
      </c>
      <c r="B9" s="2">
        <v>57</v>
      </c>
      <c r="C9" s="2"/>
      <c r="D9" s="2"/>
    </row>
    <row r="10" spans="1:4">
      <c r="A10" s="25" t="s">
        <v>73</v>
      </c>
      <c r="B10" s="2">
        <v>154.80000000000001</v>
      </c>
      <c r="C10" s="2"/>
      <c r="D10" s="2"/>
    </row>
    <row r="11" spans="1:4" ht="36.75">
      <c r="A11" s="56" t="s">
        <v>1</v>
      </c>
      <c r="B11" s="56" t="s">
        <v>2</v>
      </c>
      <c r="C11" s="56" t="s">
        <v>3</v>
      </c>
      <c r="D11" s="56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1.54</v>
      </c>
      <c r="D13" s="163">
        <f>C13*12*B8</f>
        <v>6844.9920000000002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103" t="s">
        <v>9</v>
      </c>
      <c r="B15" s="141"/>
      <c r="C15" s="26"/>
      <c r="D15" s="30"/>
    </row>
    <row r="16" spans="1:4">
      <c r="A16" s="103" t="s">
        <v>357</v>
      </c>
      <c r="B16" s="141" t="s">
        <v>117</v>
      </c>
      <c r="C16" s="26">
        <v>0.15</v>
      </c>
      <c r="D16" s="30">
        <f>C16*12*B8</f>
        <v>666.71999999999991</v>
      </c>
    </row>
    <row r="17" spans="1:4">
      <c r="A17" s="191" t="s">
        <v>10</v>
      </c>
      <c r="B17" s="192"/>
      <c r="C17" s="192"/>
      <c r="D17" s="193"/>
    </row>
    <row r="18" spans="1:4" ht="13.5" customHeight="1">
      <c r="A18" s="39" t="s">
        <v>97</v>
      </c>
      <c r="B18" s="138"/>
      <c r="C18" s="138"/>
      <c r="D18" s="138"/>
    </row>
    <row r="19" spans="1:4" ht="13.5" customHeight="1">
      <c r="A19" s="6" t="s">
        <v>11</v>
      </c>
      <c r="B19" s="56" t="s">
        <v>75</v>
      </c>
      <c r="C19" s="152">
        <v>2.16</v>
      </c>
      <c r="D19" s="166">
        <f>C19*B8*12</f>
        <v>9600.768</v>
      </c>
    </row>
    <row r="20" spans="1:4" ht="12.75" customHeight="1">
      <c r="A20" s="6" t="s">
        <v>12</v>
      </c>
      <c r="B20" s="56" t="s">
        <v>75</v>
      </c>
      <c r="C20" s="152"/>
      <c r="D20" s="155"/>
    </row>
    <row r="21" spans="1:4" ht="14.25" customHeight="1">
      <c r="A21" s="6" t="s">
        <v>13</v>
      </c>
      <c r="B21" s="56" t="s">
        <v>75</v>
      </c>
      <c r="C21" s="152"/>
      <c r="D21" s="155"/>
    </row>
    <row r="22" spans="1:4" ht="13.5" customHeight="1">
      <c r="A22" s="6" t="s">
        <v>14</v>
      </c>
      <c r="B22" s="56" t="s">
        <v>76</v>
      </c>
      <c r="C22" s="152"/>
      <c r="D22" s="155"/>
    </row>
    <row r="23" spans="1:4" ht="12.75" customHeight="1">
      <c r="A23" s="39" t="s">
        <v>93</v>
      </c>
      <c r="B23" s="56"/>
      <c r="C23" s="152"/>
      <c r="D23" s="155"/>
    </row>
    <row r="24" spans="1:4" ht="30" customHeight="1">
      <c r="A24" s="6" t="s">
        <v>15</v>
      </c>
      <c r="B24" s="56" t="s">
        <v>94</v>
      </c>
      <c r="C24" s="152"/>
      <c r="D24" s="156"/>
    </row>
    <row r="25" spans="1:4" ht="12.75" customHeight="1">
      <c r="A25" s="157" t="s">
        <v>16</v>
      </c>
      <c r="B25" s="158"/>
      <c r="C25" s="158"/>
      <c r="D25" s="159"/>
    </row>
    <row r="26" spans="1:4" ht="12" customHeight="1">
      <c r="A26" s="7" t="s">
        <v>17</v>
      </c>
      <c r="B26" s="21" t="s">
        <v>78</v>
      </c>
      <c r="C26" s="152">
        <v>0.2</v>
      </c>
      <c r="D26" s="167">
        <f>C26*B8*12</f>
        <v>888.96</v>
      </c>
    </row>
    <row r="27" spans="1:4" ht="12" customHeight="1">
      <c r="A27" s="7" t="s">
        <v>18</v>
      </c>
      <c r="B27" s="21" t="s">
        <v>77</v>
      </c>
      <c r="C27" s="152"/>
      <c r="D27" s="167"/>
    </row>
    <row r="28" spans="1:4" ht="13.5" customHeight="1">
      <c r="A28" s="157" t="s">
        <v>19</v>
      </c>
      <c r="B28" s="158"/>
      <c r="C28" s="158"/>
      <c r="D28" s="159"/>
    </row>
    <row r="29" spans="1:4">
      <c r="A29" s="167" t="s">
        <v>20</v>
      </c>
      <c r="B29" s="167"/>
      <c r="C29" s="167"/>
      <c r="D29" s="167"/>
    </row>
    <row r="30" spans="1:4" ht="37.5" customHeight="1">
      <c r="A30" s="8" t="s">
        <v>21</v>
      </c>
      <c r="B30" s="22" t="s">
        <v>79</v>
      </c>
      <c r="C30" s="152">
        <v>0.79</v>
      </c>
      <c r="D30" s="154">
        <f>C30*B8*12</f>
        <v>3511.3919999999998</v>
      </c>
    </row>
    <row r="31" spans="1:4" ht="15" customHeight="1">
      <c r="A31" s="9" t="s">
        <v>23</v>
      </c>
      <c r="B31" s="23" t="s">
        <v>80</v>
      </c>
      <c r="C31" s="152"/>
      <c r="D31" s="155"/>
    </row>
    <row r="32" spans="1:4" ht="13.5" customHeight="1">
      <c r="A32" s="9" t="s">
        <v>25</v>
      </c>
      <c r="B32" s="23" t="s">
        <v>80</v>
      </c>
      <c r="C32" s="152"/>
      <c r="D32" s="155"/>
    </row>
    <row r="33" spans="1:4" ht="36" customHeight="1">
      <c r="A33" s="9" t="s">
        <v>26</v>
      </c>
      <c r="B33" s="22" t="s">
        <v>22</v>
      </c>
      <c r="C33" s="152"/>
      <c r="D33" s="155"/>
    </row>
    <row r="34" spans="1:4" ht="14.25" customHeight="1">
      <c r="A34" s="9" t="s">
        <v>27</v>
      </c>
      <c r="B34" s="22" t="s">
        <v>88</v>
      </c>
      <c r="C34" s="152"/>
      <c r="D34" s="155"/>
    </row>
    <row r="35" spans="1:4" ht="33.75" customHeight="1">
      <c r="A35" s="24" t="s">
        <v>28</v>
      </c>
      <c r="B35" s="22" t="s">
        <v>22</v>
      </c>
      <c r="C35" s="153"/>
      <c r="D35" s="156"/>
    </row>
    <row r="36" spans="1:4" ht="15.75" customHeight="1">
      <c r="A36" s="167" t="s">
        <v>65</v>
      </c>
      <c r="B36" s="167"/>
      <c r="C36" s="167"/>
      <c r="D36" s="167"/>
    </row>
    <row r="37" spans="1:4" ht="36.75" customHeight="1">
      <c r="A37" s="9" t="s">
        <v>66</v>
      </c>
      <c r="B37" s="22" t="s">
        <v>79</v>
      </c>
      <c r="C37" s="154">
        <v>1.29</v>
      </c>
      <c r="D37" s="152">
        <f>C37*B8*12</f>
        <v>5733.7919999999995</v>
      </c>
    </row>
    <row r="38" spans="1:4" ht="14.25" customHeight="1">
      <c r="A38" s="9" t="s">
        <v>67</v>
      </c>
      <c r="B38" s="22" t="s">
        <v>80</v>
      </c>
      <c r="C38" s="154"/>
      <c r="D38" s="168"/>
    </row>
    <row r="39" spans="1:4" ht="14.25" customHeight="1">
      <c r="A39" s="9" t="s">
        <v>68</v>
      </c>
      <c r="B39" s="22" t="s">
        <v>80</v>
      </c>
      <c r="C39" s="154"/>
      <c r="D39" s="168"/>
    </row>
    <row r="40" spans="1:4" ht="24" customHeight="1">
      <c r="A40" s="9" t="s">
        <v>69</v>
      </c>
      <c r="B40" s="22" t="s">
        <v>79</v>
      </c>
      <c r="C40" s="154"/>
      <c r="D40" s="168"/>
    </row>
    <row r="41" spans="1:4" ht="25.5" customHeight="1">
      <c r="A41" s="10" t="s">
        <v>70</v>
      </c>
      <c r="B41" s="22" t="s">
        <v>79</v>
      </c>
      <c r="C41" s="154"/>
      <c r="D41" s="168"/>
    </row>
    <row r="42" spans="1:4" ht="14.25" customHeight="1">
      <c r="A42" s="9" t="s">
        <v>71</v>
      </c>
      <c r="B42" s="22" t="s">
        <v>88</v>
      </c>
      <c r="C42" s="154"/>
      <c r="D42" s="162"/>
    </row>
    <row r="43" spans="1:4" ht="11.25" customHeight="1">
      <c r="A43" s="169" t="s">
        <v>29</v>
      </c>
      <c r="B43" s="169"/>
      <c r="C43" s="169"/>
      <c r="D43" s="169"/>
    </row>
    <row r="44" spans="1:4" ht="35.25" customHeight="1">
      <c r="A44" s="9" t="s">
        <v>30</v>
      </c>
      <c r="B44" s="22" t="s">
        <v>22</v>
      </c>
      <c r="C44" s="154">
        <v>0.91</v>
      </c>
      <c r="D44" s="152">
        <f>C44*12*B8</f>
        <v>4044.7679999999996</v>
      </c>
    </row>
    <row r="45" spans="1:4" ht="38.25" customHeight="1">
      <c r="A45" s="9" t="s">
        <v>31</v>
      </c>
      <c r="B45" s="22" t="s">
        <v>22</v>
      </c>
      <c r="C45" s="154"/>
      <c r="D45" s="152"/>
    </row>
    <row r="46" spans="1:4" ht="15" customHeight="1">
      <c r="A46" s="10" t="s">
        <v>32</v>
      </c>
      <c r="B46" s="22" t="s">
        <v>22</v>
      </c>
      <c r="C46" s="154"/>
      <c r="D46" s="152"/>
    </row>
    <row r="47" spans="1:4" ht="12.75" customHeight="1">
      <c r="A47" s="167" t="s">
        <v>33</v>
      </c>
      <c r="B47" s="167"/>
      <c r="C47" s="167"/>
      <c r="D47" s="167"/>
    </row>
    <row r="48" spans="1:4" ht="29.25" customHeight="1">
      <c r="A48" s="9" t="s">
        <v>34</v>
      </c>
      <c r="B48" s="22" t="s">
        <v>77</v>
      </c>
      <c r="C48" s="154">
        <v>2.96</v>
      </c>
      <c r="D48" s="154">
        <f>C48*12*B8+0.1</f>
        <v>13156.707999999999</v>
      </c>
    </row>
    <row r="49" spans="1:4" ht="14.25" customHeight="1">
      <c r="A49" s="9" t="s">
        <v>35</v>
      </c>
      <c r="B49" s="22" t="s">
        <v>81</v>
      </c>
      <c r="C49" s="154"/>
      <c r="D49" s="154"/>
    </row>
    <row r="50" spans="1:4" ht="17.25" customHeight="1">
      <c r="A50" s="9" t="s">
        <v>36</v>
      </c>
      <c r="B50" s="22" t="s">
        <v>81</v>
      </c>
      <c r="C50" s="154"/>
      <c r="D50" s="154"/>
    </row>
    <row r="51" spans="1:4" ht="24.75" customHeight="1">
      <c r="A51" s="9" t="s">
        <v>37</v>
      </c>
      <c r="B51" s="22" t="s">
        <v>82</v>
      </c>
      <c r="C51" s="154"/>
      <c r="D51" s="154"/>
    </row>
    <row r="52" spans="1:4" ht="30" customHeight="1">
      <c r="A52" s="9" t="s">
        <v>38</v>
      </c>
      <c r="B52" s="22" t="s">
        <v>82</v>
      </c>
      <c r="C52" s="154"/>
      <c r="D52" s="154"/>
    </row>
    <row r="53" spans="1:4" ht="12.75" customHeight="1">
      <c r="A53" s="57" t="s">
        <v>95</v>
      </c>
      <c r="B53" s="6"/>
      <c r="C53" s="154"/>
      <c r="D53" s="154"/>
    </row>
    <row r="54" spans="1:4" ht="35.25" customHeight="1">
      <c r="A54" s="9" t="s">
        <v>40</v>
      </c>
      <c r="B54" s="22" t="s">
        <v>79</v>
      </c>
      <c r="C54" s="154"/>
      <c r="D54" s="154"/>
    </row>
    <row r="55" spans="1:4" ht="14.25" customHeight="1">
      <c r="A55" s="9" t="s">
        <v>41</v>
      </c>
      <c r="B55" s="22" t="s">
        <v>24</v>
      </c>
      <c r="C55" s="154"/>
      <c r="D55" s="154"/>
    </row>
    <row r="56" spans="1:4" ht="14.25" customHeight="1">
      <c r="A56" s="9" t="s">
        <v>42</v>
      </c>
      <c r="B56" s="23" t="s">
        <v>24</v>
      </c>
      <c r="C56" s="154"/>
      <c r="D56" s="154"/>
    </row>
    <row r="57" spans="1:4" ht="13.5" customHeight="1">
      <c r="A57" s="9" t="s">
        <v>43</v>
      </c>
      <c r="B57" s="23" t="s">
        <v>24</v>
      </c>
      <c r="C57" s="154"/>
      <c r="D57" s="154"/>
    </row>
    <row r="58" spans="1:4" ht="13.5" customHeight="1">
      <c r="A58" s="9" t="s">
        <v>44</v>
      </c>
      <c r="B58" s="21" t="s">
        <v>132</v>
      </c>
      <c r="C58" s="154"/>
      <c r="D58" s="154"/>
    </row>
    <row r="59" spans="1:4" ht="36.75" customHeight="1">
      <c r="A59" s="10" t="s">
        <v>45</v>
      </c>
      <c r="B59" s="22" t="s">
        <v>22</v>
      </c>
      <c r="C59" s="154"/>
      <c r="D59" s="154"/>
    </row>
    <row r="60" spans="1:4">
      <c r="A60" s="167" t="s">
        <v>46</v>
      </c>
      <c r="B60" s="167"/>
      <c r="C60" s="167"/>
      <c r="D60" s="167"/>
    </row>
    <row r="61" spans="1:4" ht="15.75" customHeight="1">
      <c r="A61" s="9" t="s">
        <v>47</v>
      </c>
      <c r="B61" s="22" t="s">
        <v>83</v>
      </c>
      <c r="C61" s="152">
        <v>2.72</v>
      </c>
      <c r="D61" s="154">
        <f>C61*B8*12</f>
        <v>12089.856</v>
      </c>
    </row>
    <row r="62" spans="1:4" ht="12.75" customHeight="1">
      <c r="A62" s="9" t="s">
        <v>48</v>
      </c>
      <c r="B62" s="22" t="s">
        <v>83</v>
      </c>
      <c r="C62" s="152"/>
      <c r="D62" s="154"/>
    </row>
    <row r="63" spans="1:4" ht="26.25" customHeight="1">
      <c r="A63" s="9" t="s">
        <v>49</v>
      </c>
      <c r="B63" s="22" t="s">
        <v>83</v>
      </c>
      <c r="C63" s="152"/>
      <c r="D63" s="154"/>
    </row>
    <row r="64" spans="1:4" ht="16.5" customHeight="1">
      <c r="A64" s="9" t="s">
        <v>50</v>
      </c>
      <c r="B64" s="22" t="s">
        <v>83</v>
      </c>
      <c r="C64" s="152"/>
      <c r="D64" s="154"/>
    </row>
    <row r="65" spans="1:4" ht="39.75" customHeight="1">
      <c r="A65" s="10" t="s">
        <v>51</v>
      </c>
      <c r="B65" s="22" t="s">
        <v>22</v>
      </c>
      <c r="C65" s="152"/>
      <c r="D65" s="154"/>
    </row>
    <row r="66" spans="1:4" ht="16.5" customHeight="1">
      <c r="A66" s="10" t="s">
        <v>52</v>
      </c>
      <c r="B66" s="23" t="s">
        <v>84</v>
      </c>
      <c r="C66" s="152"/>
      <c r="D66" s="154"/>
    </row>
    <row r="67" spans="1:4">
      <c r="A67" s="157" t="s">
        <v>85</v>
      </c>
      <c r="B67" s="158"/>
      <c r="C67" s="158"/>
      <c r="D67" s="159"/>
    </row>
    <row r="68" spans="1:4" ht="26.25" customHeight="1">
      <c r="A68" s="175" t="s">
        <v>96</v>
      </c>
      <c r="B68" s="177" t="s">
        <v>86</v>
      </c>
      <c r="C68" s="152">
        <v>2.41</v>
      </c>
      <c r="D68" s="154">
        <f>C68*B8*12</f>
        <v>10711.968000000001</v>
      </c>
    </row>
    <row r="69" spans="1:4" ht="13.5" customHeight="1">
      <c r="A69" s="176"/>
      <c r="B69" s="177"/>
      <c r="C69" s="152"/>
      <c r="D69" s="154"/>
    </row>
    <row r="70" spans="1:4" ht="15" customHeight="1">
      <c r="A70" s="157" t="s">
        <v>55</v>
      </c>
      <c r="B70" s="158"/>
      <c r="C70" s="158"/>
      <c r="D70" s="159"/>
    </row>
    <row r="71" spans="1:4" ht="16.5" customHeight="1">
      <c r="A71" s="6" t="s">
        <v>90</v>
      </c>
      <c r="B71" s="21" t="s">
        <v>87</v>
      </c>
      <c r="C71" s="170">
        <v>2.14</v>
      </c>
      <c r="D71" s="172">
        <v>9511.92</v>
      </c>
    </row>
    <row r="72" spans="1:4">
      <c r="A72" s="6" t="s">
        <v>91</v>
      </c>
      <c r="B72" s="21" t="s">
        <v>87</v>
      </c>
      <c r="C72" s="171"/>
      <c r="D72" s="173"/>
    </row>
    <row r="73" spans="1:4" ht="15" customHeight="1">
      <c r="A73" s="6" t="s">
        <v>92</v>
      </c>
      <c r="B73" s="21" t="s">
        <v>87</v>
      </c>
      <c r="C73" s="169"/>
      <c r="D73" s="174"/>
    </row>
    <row r="74" spans="1:4" ht="38.25" customHeight="1">
      <c r="A74" s="6" t="s">
        <v>143</v>
      </c>
      <c r="B74" s="22" t="s">
        <v>22</v>
      </c>
      <c r="C74" s="55">
        <v>4.3499999999999996</v>
      </c>
      <c r="D74" s="55">
        <v>19335.12</v>
      </c>
    </row>
    <row r="75" spans="1:4">
      <c r="A75" s="57" t="s">
        <v>56</v>
      </c>
      <c r="B75" s="23"/>
      <c r="C75" s="28">
        <f>C74+C71+C68+C61+C48+C44+C37+C30+C26+C19+C16+C13</f>
        <v>21.619999999999997</v>
      </c>
      <c r="D75" s="28">
        <f>D74+D71+D68+D61+D48+D44+D37+D30+D26+D19+D16+D13</f>
        <v>96096.964000000007</v>
      </c>
    </row>
    <row r="77" spans="1:4">
      <c r="D77" s="40"/>
    </row>
    <row r="78" spans="1:4">
      <c r="D78" s="40"/>
    </row>
    <row r="79" spans="1:4">
      <c r="D79" s="40"/>
    </row>
    <row r="80" spans="1:4">
      <c r="D80" s="40"/>
    </row>
  </sheetData>
  <mergeCells count="34">
    <mergeCell ref="A47:D47"/>
    <mergeCell ref="A70:D70"/>
    <mergeCell ref="C71:C73"/>
    <mergeCell ref="D71:D73"/>
    <mergeCell ref="A60:D60"/>
    <mergeCell ref="C61:C66"/>
    <mergeCell ref="D61:D66"/>
    <mergeCell ref="A67:D67"/>
    <mergeCell ref="A68:A69"/>
    <mergeCell ref="B68:B69"/>
    <mergeCell ref="C68:C69"/>
    <mergeCell ref="D68:D69"/>
    <mergeCell ref="C48:C59"/>
    <mergeCell ref="D48:D59"/>
    <mergeCell ref="A36:D36"/>
    <mergeCell ref="A12:D12"/>
    <mergeCell ref="A17:D17"/>
    <mergeCell ref="C19:C24"/>
    <mergeCell ref="D19:D24"/>
    <mergeCell ref="A25:D25"/>
    <mergeCell ref="D13:D14"/>
    <mergeCell ref="B13:B14"/>
    <mergeCell ref="C13:C14"/>
    <mergeCell ref="C26:C27"/>
    <mergeCell ref="D26:D27"/>
    <mergeCell ref="A28:D28"/>
    <mergeCell ref="A29:D29"/>
    <mergeCell ref="C30:C35"/>
    <mergeCell ref="D30:D35"/>
    <mergeCell ref="A43:D43"/>
    <mergeCell ref="C44:C46"/>
    <mergeCell ref="D44:D46"/>
    <mergeCell ref="C37:C42"/>
    <mergeCell ref="D37:D4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G78"/>
  <sheetViews>
    <sheetView topLeftCell="A57" workbookViewId="0">
      <selection activeCell="A14" sqref="A14:D15"/>
    </sheetView>
  </sheetViews>
  <sheetFormatPr defaultRowHeight="15"/>
  <cols>
    <col min="1" max="1" width="90.5703125" customWidth="1"/>
    <col min="2" max="2" width="12.5703125" customWidth="1"/>
    <col min="3" max="3" width="11.28515625" customWidth="1"/>
    <col min="4" max="4" width="11.7109375" customWidth="1"/>
  </cols>
  <sheetData>
    <row r="1" spans="1:7">
      <c r="A1" s="1" t="s">
        <v>0</v>
      </c>
      <c r="B1" s="2"/>
      <c r="C1" s="2"/>
      <c r="D1" s="2" t="s">
        <v>63</v>
      </c>
      <c r="E1" s="2"/>
      <c r="F1" s="2"/>
      <c r="G1" s="2"/>
    </row>
    <row r="2" spans="1:7">
      <c r="A2" s="1" t="s">
        <v>129</v>
      </c>
      <c r="B2" s="2"/>
      <c r="C2" s="2"/>
      <c r="D2" s="2"/>
      <c r="E2" s="2"/>
      <c r="F2" s="2"/>
      <c r="G2" s="2"/>
    </row>
    <row r="3" spans="1:7">
      <c r="A3" s="1" t="s">
        <v>268</v>
      </c>
      <c r="B3" s="2"/>
      <c r="C3" s="2"/>
      <c r="D3" s="2"/>
      <c r="E3" s="2"/>
      <c r="F3" s="2"/>
      <c r="G3" s="2"/>
    </row>
    <row r="4" spans="1:7">
      <c r="A4" s="3"/>
      <c r="B4" s="2"/>
      <c r="C4" s="2"/>
      <c r="D4" s="2"/>
      <c r="E4" s="2"/>
      <c r="F4" s="2"/>
      <c r="G4" s="2"/>
    </row>
    <row r="5" spans="1:7">
      <c r="A5" s="25" t="s">
        <v>58</v>
      </c>
      <c r="B5" s="2">
        <v>1963</v>
      </c>
      <c r="C5" s="2"/>
      <c r="D5" s="2"/>
      <c r="E5" s="2"/>
      <c r="F5" s="2"/>
      <c r="G5" s="2"/>
    </row>
    <row r="6" spans="1:7">
      <c r="A6" s="25" t="s">
        <v>59</v>
      </c>
      <c r="B6" s="2">
        <v>4</v>
      </c>
      <c r="C6" s="2"/>
      <c r="D6" s="2"/>
      <c r="E6" s="2"/>
      <c r="F6" s="2"/>
      <c r="G6" s="2"/>
    </row>
    <row r="7" spans="1:7">
      <c r="A7" s="25" t="s">
        <v>60</v>
      </c>
      <c r="B7" s="2">
        <v>2</v>
      </c>
      <c r="C7" s="2"/>
      <c r="D7" s="2"/>
      <c r="E7" s="2"/>
      <c r="F7" s="2"/>
      <c r="G7" s="2"/>
    </row>
    <row r="8" spans="1:7">
      <c r="A8" s="25" t="s">
        <v>61</v>
      </c>
      <c r="B8" s="2">
        <v>32</v>
      </c>
      <c r="C8" s="2"/>
      <c r="D8" s="2"/>
      <c r="E8" s="2"/>
      <c r="F8" s="2"/>
      <c r="G8" s="2"/>
    </row>
    <row r="9" spans="1:7">
      <c r="A9" s="25" t="s">
        <v>72</v>
      </c>
      <c r="B9" s="2">
        <v>1242.4000000000001</v>
      </c>
      <c r="C9" s="2"/>
      <c r="D9" s="2"/>
      <c r="E9" s="2"/>
      <c r="F9" s="2"/>
      <c r="G9" s="2"/>
    </row>
    <row r="10" spans="1:7">
      <c r="A10" s="25" t="s">
        <v>62</v>
      </c>
      <c r="B10" s="2">
        <v>92.5</v>
      </c>
      <c r="C10" s="2"/>
      <c r="D10" s="2"/>
      <c r="E10" s="2"/>
      <c r="F10" s="2"/>
      <c r="G10" s="2"/>
    </row>
    <row r="11" spans="1:7">
      <c r="A11" s="25" t="s">
        <v>73</v>
      </c>
      <c r="B11" s="46" t="s">
        <v>100</v>
      </c>
      <c r="C11" s="2"/>
      <c r="D11" s="2"/>
      <c r="E11" s="2"/>
      <c r="F11" s="2"/>
      <c r="G11" s="2"/>
    </row>
    <row r="12" spans="1:7" ht="45.75" customHeight="1">
      <c r="A12" s="56" t="s">
        <v>1</v>
      </c>
      <c r="B12" s="56" t="s">
        <v>2</v>
      </c>
      <c r="C12" s="56" t="s">
        <v>3</v>
      </c>
      <c r="D12" s="56" t="s">
        <v>4</v>
      </c>
      <c r="E12" s="186"/>
      <c r="F12" s="186"/>
      <c r="G12" s="186"/>
    </row>
    <row r="13" spans="1:7">
      <c r="A13" s="188" t="s">
        <v>5</v>
      </c>
      <c r="B13" s="189"/>
      <c r="C13" s="189"/>
      <c r="D13" s="190"/>
      <c r="E13" s="186"/>
      <c r="F13" s="186"/>
      <c r="G13" s="186"/>
    </row>
    <row r="14" spans="1:7" ht="87" customHeight="1">
      <c r="A14" s="104" t="s">
        <v>6</v>
      </c>
      <c r="B14" s="160" t="s">
        <v>8</v>
      </c>
      <c r="C14" s="153">
        <v>1.54</v>
      </c>
      <c r="D14" s="163">
        <f>C14*12*B9</f>
        <v>22959.552000000003</v>
      </c>
      <c r="E14" s="186"/>
      <c r="F14" s="186"/>
      <c r="G14" s="186"/>
    </row>
    <row r="15" spans="1:7" ht="73.5" customHeight="1">
      <c r="A15" s="103" t="s">
        <v>89</v>
      </c>
      <c r="B15" s="161"/>
      <c r="C15" s="162"/>
      <c r="D15" s="164"/>
      <c r="E15" s="186"/>
      <c r="F15" s="187"/>
      <c r="G15" s="187"/>
    </row>
    <row r="16" spans="1:7" ht="12" customHeight="1">
      <c r="A16" s="191" t="s">
        <v>10</v>
      </c>
      <c r="B16" s="192"/>
      <c r="C16" s="192"/>
      <c r="D16" s="193"/>
      <c r="E16" s="194"/>
      <c r="F16" s="186"/>
      <c r="G16" s="186"/>
    </row>
    <row r="17" spans="1:7" ht="11.25" customHeight="1">
      <c r="A17" s="6" t="s">
        <v>11</v>
      </c>
      <c r="B17" s="56" t="s">
        <v>75</v>
      </c>
      <c r="C17" s="153">
        <v>2.16</v>
      </c>
      <c r="D17" s="153">
        <f>C17*12*B9</f>
        <v>32203.008000000005</v>
      </c>
      <c r="E17" s="194"/>
      <c r="F17" s="186"/>
      <c r="G17" s="186"/>
    </row>
    <row r="18" spans="1:7" ht="13.5" customHeight="1">
      <c r="A18" s="6" t="s">
        <v>12</v>
      </c>
      <c r="B18" s="56" t="s">
        <v>75</v>
      </c>
      <c r="C18" s="168"/>
      <c r="D18" s="168"/>
      <c r="E18" s="194"/>
      <c r="F18" s="186"/>
      <c r="G18" s="186"/>
    </row>
    <row r="19" spans="1:7" ht="12.75" customHeight="1">
      <c r="A19" s="6" t="s">
        <v>13</v>
      </c>
      <c r="B19" s="56" t="s">
        <v>75</v>
      </c>
      <c r="C19" s="168"/>
      <c r="D19" s="168"/>
      <c r="E19" s="194"/>
      <c r="F19" s="186"/>
      <c r="G19" s="186"/>
    </row>
    <row r="20" spans="1:7" ht="12" customHeight="1">
      <c r="A20" s="6" t="s">
        <v>14</v>
      </c>
      <c r="B20" s="56" t="s">
        <v>76</v>
      </c>
      <c r="C20" s="168"/>
      <c r="D20" s="168"/>
      <c r="E20" s="194"/>
      <c r="F20" s="186"/>
      <c r="G20" s="186"/>
    </row>
    <row r="21" spans="1:7" ht="24" customHeight="1">
      <c r="A21" s="6" t="s">
        <v>15</v>
      </c>
      <c r="B21" s="56" t="s">
        <v>94</v>
      </c>
      <c r="C21" s="162"/>
      <c r="D21" s="162"/>
      <c r="E21" s="194"/>
      <c r="F21" s="186"/>
      <c r="G21" s="186"/>
    </row>
    <row r="22" spans="1:7" ht="12" customHeight="1">
      <c r="A22" s="191" t="s">
        <v>16</v>
      </c>
      <c r="B22" s="192"/>
      <c r="C22" s="192"/>
      <c r="D22" s="193"/>
      <c r="E22" s="194"/>
      <c r="F22" s="186"/>
      <c r="G22" s="186"/>
    </row>
    <row r="23" spans="1:7" ht="12" customHeight="1">
      <c r="A23" s="7" t="s">
        <v>17</v>
      </c>
      <c r="B23" s="21" t="s">
        <v>78</v>
      </c>
      <c r="C23" s="152">
        <v>0.2</v>
      </c>
      <c r="D23" s="167">
        <f>C23*12*B9</f>
        <v>2981.7600000000007</v>
      </c>
      <c r="E23" s="15"/>
    </row>
    <row r="24" spans="1:7" ht="12" customHeight="1">
      <c r="A24" s="7" t="s">
        <v>18</v>
      </c>
      <c r="B24" s="21" t="s">
        <v>77</v>
      </c>
      <c r="C24" s="152"/>
      <c r="D24" s="167"/>
      <c r="E24" s="48"/>
    </row>
    <row r="25" spans="1:7" ht="12" customHeight="1">
      <c r="A25" s="165" t="s">
        <v>19</v>
      </c>
      <c r="B25" s="165"/>
      <c r="C25" s="165"/>
      <c r="D25" s="165"/>
      <c r="E25" s="186"/>
      <c r="F25" s="187"/>
      <c r="G25" s="187"/>
    </row>
    <row r="26" spans="1:7" ht="12" customHeight="1">
      <c r="A26" s="167" t="s">
        <v>20</v>
      </c>
      <c r="B26" s="167"/>
      <c r="C26" s="167"/>
      <c r="D26" s="167"/>
      <c r="E26" s="186"/>
      <c r="F26" s="187"/>
      <c r="G26" s="187"/>
    </row>
    <row r="27" spans="1:7" ht="41.25" customHeight="1">
      <c r="A27" s="8" t="s">
        <v>21</v>
      </c>
      <c r="B27" s="22" t="s">
        <v>79</v>
      </c>
      <c r="C27" s="152">
        <v>0.66</v>
      </c>
      <c r="D27" s="152">
        <f>C27*12*B9</f>
        <v>9839.8080000000009</v>
      </c>
      <c r="E27" s="186"/>
      <c r="F27" s="187"/>
      <c r="G27" s="187"/>
    </row>
    <row r="28" spans="1:7" ht="14.25" customHeight="1">
      <c r="A28" s="9" t="s">
        <v>23</v>
      </c>
      <c r="B28" s="23" t="s">
        <v>80</v>
      </c>
      <c r="C28" s="152"/>
      <c r="D28" s="152"/>
      <c r="E28" s="186"/>
      <c r="F28" s="187"/>
      <c r="G28" s="187"/>
    </row>
    <row r="29" spans="1:7" ht="12" customHeight="1">
      <c r="A29" s="9" t="s">
        <v>25</v>
      </c>
      <c r="B29" s="23" t="s">
        <v>80</v>
      </c>
      <c r="C29" s="152"/>
      <c r="D29" s="152"/>
      <c r="E29" s="186"/>
      <c r="F29" s="187"/>
      <c r="G29" s="187"/>
    </row>
    <row r="30" spans="1:7" ht="42.75" customHeight="1">
      <c r="A30" s="9" t="s">
        <v>26</v>
      </c>
      <c r="B30" s="22" t="s">
        <v>79</v>
      </c>
      <c r="C30" s="152"/>
      <c r="D30" s="152"/>
      <c r="E30" s="186"/>
      <c r="F30" s="187"/>
      <c r="G30" s="187"/>
    </row>
    <row r="31" spans="1:7" ht="12" customHeight="1">
      <c r="A31" s="9" t="s">
        <v>27</v>
      </c>
      <c r="B31" s="22" t="s">
        <v>24</v>
      </c>
      <c r="C31" s="152"/>
      <c r="D31" s="152"/>
      <c r="E31" s="186"/>
      <c r="F31" s="187"/>
      <c r="G31" s="187"/>
    </row>
    <row r="32" spans="1:7" ht="42" customHeight="1">
      <c r="A32" s="10" t="s">
        <v>28</v>
      </c>
      <c r="B32" s="22" t="s">
        <v>79</v>
      </c>
      <c r="C32" s="152"/>
      <c r="D32" s="152"/>
      <c r="E32" s="186"/>
      <c r="F32" s="187"/>
      <c r="G32" s="187"/>
    </row>
    <row r="33" spans="1:7" ht="12" customHeight="1">
      <c r="A33" s="167" t="s">
        <v>29</v>
      </c>
      <c r="B33" s="167"/>
      <c r="C33" s="167"/>
      <c r="D33" s="167"/>
      <c r="E33" s="186"/>
      <c r="F33" s="187"/>
      <c r="G33" s="187"/>
    </row>
    <row r="34" spans="1:7" ht="39" customHeight="1">
      <c r="A34" s="9" t="s">
        <v>30</v>
      </c>
      <c r="B34" s="22" t="s">
        <v>79</v>
      </c>
      <c r="C34" s="152">
        <v>0.76</v>
      </c>
      <c r="D34" s="152">
        <f>C34*12*B9</f>
        <v>11330.688000000002</v>
      </c>
      <c r="E34" s="186"/>
      <c r="F34" s="187"/>
      <c r="G34" s="187"/>
    </row>
    <row r="35" spans="1:7" ht="34.5" customHeight="1">
      <c r="A35" s="9" t="s">
        <v>31</v>
      </c>
      <c r="B35" s="22" t="s">
        <v>79</v>
      </c>
      <c r="C35" s="152"/>
      <c r="D35" s="152"/>
      <c r="E35" s="186"/>
      <c r="F35" s="187"/>
      <c r="G35" s="187"/>
    </row>
    <row r="36" spans="1:7" ht="38.25" customHeight="1">
      <c r="A36" s="10" t="s">
        <v>32</v>
      </c>
      <c r="B36" s="22" t="s">
        <v>79</v>
      </c>
      <c r="C36" s="152"/>
      <c r="D36" s="152"/>
      <c r="E36" s="186"/>
      <c r="F36" s="187"/>
      <c r="G36" s="187"/>
    </row>
    <row r="37" spans="1:7" ht="12" customHeight="1">
      <c r="A37" s="167" t="s">
        <v>33</v>
      </c>
      <c r="B37" s="167"/>
      <c r="C37" s="167"/>
      <c r="D37" s="167"/>
      <c r="E37" s="186"/>
      <c r="F37" s="187"/>
      <c r="G37" s="187"/>
    </row>
    <row r="38" spans="1:7" ht="26.25" customHeight="1">
      <c r="A38" s="9" t="s">
        <v>34</v>
      </c>
      <c r="B38" s="22" t="s">
        <v>109</v>
      </c>
      <c r="C38" s="152">
        <v>3.37</v>
      </c>
      <c r="D38" s="152">
        <f>C38*12*B9</f>
        <v>50242.656000000003</v>
      </c>
      <c r="E38" s="186"/>
      <c r="F38" s="187"/>
      <c r="G38" s="187"/>
    </row>
    <row r="39" spans="1:7" ht="15" customHeight="1">
      <c r="A39" s="9" t="s">
        <v>35</v>
      </c>
      <c r="B39" s="22" t="s">
        <v>110</v>
      </c>
      <c r="C39" s="152"/>
      <c r="D39" s="152"/>
      <c r="E39" s="186"/>
      <c r="F39" s="187"/>
      <c r="G39" s="187"/>
    </row>
    <row r="40" spans="1:7" ht="14.25" customHeight="1">
      <c r="A40" s="9" t="s">
        <v>36</v>
      </c>
      <c r="B40" s="22" t="s">
        <v>84</v>
      </c>
      <c r="C40" s="152"/>
      <c r="D40" s="152"/>
      <c r="E40" s="186"/>
      <c r="F40" s="187"/>
      <c r="G40" s="187"/>
    </row>
    <row r="41" spans="1:7" ht="33" customHeight="1">
      <c r="A41" s="9" t="s">
        <v>37</v>
      </c>
      <c r="B41" s="22" t="s">
        <v>82</v>
      </c>
      <c r="C41" s="152"/>
      <c r="D41" s="152"/>
      <c r="E41" s="186"/>
      <c r="F41" s="187"/>
      <c r="G41" s="187"/>
    </row>
    <row r="42" spans="1:7" ht="27" customHeight="1">
      <c r="A42" s="9" t="s">
        <v>38</v>
      </c>
      <c r="B42" s="22" t="s">
        <v>82</v>
      </c>
      <c r="C42" s="152"/>
      <c r="D42" s="152"/>
      <c r="E42" s="186"/>
      <c r="F42" s="187"/>
      <c r="G42" s="187"/>
    </row>
    <row r="43" spans="1:7" ht="13.5" customHeight="1">
      <c r="A43" s="57" t="s">
        <v>39</v>
      </c>
      <c r="B43" s="6"/>
      <c r="C43" s="152"/>
      <c r="D43" s="152"/>
      <c r="E43" s="186"/>
      <c r="F43" s="187"/>
      <c r="G43" s="187"/>
    </row>
    <row r="44" spans="1:7" ht="42" customHeight="1">
      <c r="A44" s="9" t="s">
        <v>40</v>
      </c>
      <c r="B44" s="22" t="s">
        <v>79</v>
      </c>
      <c r="C44" s="152"/>
      <c r="D44" s="152"/>
      <c r="E44" s="4"/>
      <c r="F44" s="4"/>
      <c r="G44" s="4"/>
    </row>
    <row r="45" spans="1:7" ht="14.25" customHeight="1">
      <c r="A45" s="9" t="s">
        <v>41</v>
      </c>
      <c r="B45" s="22" t="s">
        <v>24</v>
      </c>
      <c r="C45" s="152"/>
      <c r="D45" s="152"/>
      <c r="E45" s="4"/>
      <c r="F45" s="4"/>
      <c r="G45" s="4"/>
    </row>
    <row r="46" spans="1:7" ht="15" customHeight="1">
      <c r="A46" s="9" t="s">
        <v>42</v>
      </c>
      <c r="B46" s="23" t="s">
        <v>24</v>
      </c>
      <c r="C46" s="152"/>
      <c r="D46" s="152"/>
      <c r="E46" s="4"/>
      <c r="F46" s="4"/>
      <c r="G46" s="4"/>
    </row>
    <row r="47" spans="1:7" ht="15.75" customHeight="1">
      <c r="A47" s="9" t="s">
        <v>43</v>
      </c>
      <c r="B47" s="23" t="s">
        <v>24</v>
      </c>
      <c r="C47" s="152"/>
      <c r="D47" s="152"/>
      <c r="E47" s="4"/>
      <c r="F47" s="4"/>
      <c r="G47" s="4"/>
    </row>
    <row r="48" spans="1:7" ht="18.75" customHeight="1">
      <c r="A48" s="9" t="s">
        <v>44</v>
      </c>
      <c r="B48" s="21" t="s">
        <v>130</v>
      </c>
      <c r="C48" s="152"/>
      <c r="D48" s="152"/>
      <c r="E48" s="5"/>
      <c r="F48" s="4"/>
      <c r="G48" s="4"/>
    </row>
    <row r="49" spans="1:7" ht="42" customHeight="1">
      <c r="A49" s="10" t="s">
        <v>45</v>
      </c>
      <c r="B49" s="22" t="s">
        <v>79</v>
      </c>
      <c r="C49" s="152"/>
      <c r="D49" s="152"/>
      <c r="E49" s="5"/>
      <c r="F49" s="4"/>
      <c r="G49" s="4"/>
    </row>
    <row r="50" spans="1:7" ht="12" customHeight="1">
      <c r="A50" s="167" t="s">
        <v>46</v>
      </c>
      <c r="B50" s="167"/>
      <c r="C50" s="167"/>
      <c r="D50" s="167"/>
      <c r="E50" s="186"/>
      <c r="F50" s="186"/>
      <c r="G50" s="186"/>
    </row>
    <row r="51" spans="1:7" ht="12" customHeight="1">
      <c r="A51" s="9" t="s">
        <v>47</v>
      </c>
      <c r="B51" s="22" t="s">
        <v>83</v>
      </c>
      <c r="C51" s="152">
        <v>1.9</v>
      </c>
      <c r="D51" s="152">
        <f>C51*12*B9-60.11</f>
        <v>28266.609999999997</v>
      </c>
      <c r="E51" s="186"/>
      <c r="F51" s="187"/>
      <c r="G51" s="187"/>
    </row>
    <row r="52" spans="1:7" ht="15" customHeight="1">
      <c r="A52" s="9" t="s">
        <v>48</v>
      </c>
      <c r="B52" s="22" t="s">
        <v>83</v>
      </c>
      <c r="C52" s="152"/>
      <c r="D52" s="152"/>
      <c r="E52" s="186"/>
      <c r="F52" s="187"/>
      <c r="G52" s="187"/>
    </row>
    <row r="53" spans="1:7" ht="28.5" customHeight="1">
      <c r="A53" s="9" t="s">
        <v>49</v>
      </c>
      <c r="B53" s="22" t="s">
        <v>84</v>
      </c>
      <c r="C53" s="152"/>
      <c r="D53" s="152"/>
      <c r="E53" s="186"/>
      <c r="F53" s="187"/>
      <c r="G53" s="187"/>
    </row>
    <row r="54" spans="1:7" ht="12" customHeight="1">
      <c r="A54" s="9" t="s">
        <v>50</v>
      </c>
      <c r="B54" s="22" t="s">
        <v>104</v>
      </c>
      <c r="C54" s="152"/>
      <c r="D54" s="152"/>
      <c r="E54" s="186"/>
      <c r="F54" s="187"/>
      <c r="G54" s="187"/>
    </row>
    <row r="55" spans="1:7" ht="36.75" customHeight="1">
      <c r="A55" s="10" t="s">
        <v>51</v>
      </c>
      <c r="B55" s="22" t="s">
        <v>79</v>
      </c>
      <c r="C55" s="152"/>
      <c r="D55" s="152"/>
      <c r="E55" s="186"/>
      <c r="F55" s="187"/>
      <c r="G55" s="187"/>
    </row>
    <row r="56" spans="1:7" ht="13.5" customHeight="1">
      <c r="A56" s="10" t="s">
        <v>52</v>
      </c>
      <c r="B56" s="23" t="s">
        <v>84</v>
      </c>
      <c r="C56" s="152"/>
      <c r="D56" s="152"/>
      <c r="E56" s="186"/>
      <c r="F56" s="187"/>
      <c r="G56" s="187"/>
    </row>
    <row r="57" spans="1:7" ht="15" customHeight="1">
      <c r="A57" s="165" t="s">
        <v>53</v>
      </c>
      <c r="B57" s="165"/>
      <c r="C57" s="165"/>
      <c r="D57" s="165"/>
      <c r="E57" s="186"/>
      <c r="F57" s="187"/>
      <c r="G57" s="187"/>
    </row>
    <row r="58" spans="1:7" ht="34.5" customHeight="1">
      <c r="A58" s="160" t="s">
        <v>54</v>
      </c>
      <c r="B58" s="177" t="s">
        <v>86</v>
      </c>
      <c r="C58" s="152">
        <v>2.41</v>
      </c>
      <c r="D58" s="152">
        <f>C58*12*B9</f>
        <v>35930.208000000006</v>
      </c>
      <c r="E58" s="186"/>
      <c r="F58" s="187"/>
      <c r="G58" s="187"/>
    </row>
    <row r="59" spans="1:7" ht="15" customHeight="1">
      <c r="A59" s="161"/>
      <c r="B59" s="177"/>
      <c r="C59" s="152"/>
      <c r="D59" s="152"/>
      <c r="E59" s="186"/>
      <c r="F59" s="187"/>
      <c r="G59" s="187"/>
    </row>
    <row r="60" spans="1:7" ht="12.75" customHeight="1">
      <c r="A60" s="57" t="s">
        <v>55</v>
      </c>
      <c r="B60" s="21"/>
      <c r="C60" s="55"/>
      <c r="D60" s="55"/>
      <c r="E60" s="186"/>
      <c r="F60" s="187"/>
      <c r="G60" s="187"/>
    </row>
    <row r="61" spans="1:7" ht="16.5" customHeight="1">
      <c r="A61" s="6" t="s">
        <v>90</v>
      </c>
      <c r="B61" s="21" t="s">
        <v>87</v>
      </c>
      <c r="C61" s="170">
        <v>2.14</v>
      </c>
      <c r="D61" s="172">
        <f>2658.77+29238.97</f>
        <v>31897.74</v>
      </c>
    </row>
    <row r="62" spans="1:7">
      <c r="A62" s="6" t="s">
        <v>91</v>
      </c>
      <c r="B62" s="21" t="s">
        <v>87</v>
      </c>
      <c r="C62" s="171"/>
      <c r="D62" s="173"/>
    </row>
    <row r="63" spans="1:7" ht="15" customHeight="1">
      <c r="A63" s="6" t="s">
        <v>92</v>
      </c>
      <c r="B63" s="21" t="s">
        <v>87</v>
      </c>
      <c r="C63" s="169"/>
      <c r="D63" s="174"/>
    </row>
    <row r="64" spans="1:7" ht="39" customHeight="1">
      <c r="A64" s="6" t="s">
        <v>143</v>
      </c>
      <c r="B64" s="22" t="s">
        <v>79</v>
      </c>
      <c r="C64" s="55">
        <v>4.22</v>
      </c>
      <c r="D64" s="55">
        <f>C64*12*B9</f>
        <v>62915.136000000006</v>
      </c>
      <c r="E64" s="186"/>
      <c r="F64" s="187"/>
      <c r="G64" s="187"/>
    </row>
    <row r="65" spans="1:7" ht="12" customHeight="1">
      <c r="A65" s="57" t="s">
        <v>56</v>
      </c>
      <c r="B65" s="23"/>
      <c r="C65" s="28">
        <f>C64+C61+C58+C51+C38+C34+C27+C23+C17+C15+C14</f>
        <v>19.36</v>
      </c>
      <c r="D65" s="28">
        <f>D64+D61+D58+D51+D38+D34+D27+D23+D17+D15+D14</f>
        <v>288567.16600000003</v>
      </c>
      <c r="E65" s="186">
        <f>C65*11*B9</f>
        <v>264581.50400000002</v>
      </c>
      <c r="F65" s="187"/>
      <c r="G65" s="187"/>
    </row>
    <row r="66" spans="1:7">
      <c r="A66" s="58"/>
      <c r="B66" s="58"/>
      <c r="C66" s="58"/>
      <c r="D66" s="58"/>
      <c r="E66" s="58"/>
      <c r="F66" s="58"/>
      <c r="G66" s="58"/>
    </row>
    <row r="67" spans="1:7">
      <c r="A67" s="15"/>
      <c r="B67" s="16"/>
      <c r="C67" s="17"/>
      <c r="D67" s="17"/>
      <c r="E67" s="18"/>
      <c r="F67" s="18"/>
      <c r="G67" s="16"/>
    </row>
    <row r="68" spans="1:7" ht="17.25" customHeight="1">
      <c r="A68" s="15"/>
      <c r="B68" s="16"/>
      <c r="C68" s="195"/>
      <c r="D68" s="195"/>
      <c r="E68" s="197"/>
      <c r="F68" s="197"/>
      <c r="G68" s="16"/>
    </row>
    <row r="69" spans="1:7" ht="17.25" customHeight="1">
      <c r="A69" s="15"/>
      <c r="B69" s="16"/>
      <c r="C69" s="196"/>
      <c r="D69" s="196"/>
      <c r="E69" s="196"/>
      <c r="F69" s="196"/>
      <c r="G69" s="16"/>
    </row>
    <row r="70" spans="1:7" ht="17.25" customHeight="1">
      <c r="A70" s="19"/>
      <c r="B70" s="12"/>
      <c r="C70" s="13"/>
      <c r="D70" s="45"/>
      <c r="E70" s="13"/>
      <c r="F70" s="20"/>
      <c r="G70" s="14"/>
    </row>
    <row r="71" spans="1:7" ht="17.25" customHeight="1">
      <c r="A71" s="19"/>
      <c r="B71" s="12"/>
      <c r="C71" s="13"/>
      <c r="D71" s="13"/>
      <c r="E71" s="13"/>
      <c r="F71" s="13"/>
      <c r="G71" s="14"/>
    </row>
    <row r="72" spans="1:7" ht="17.25" customHeight="1">
      <c r="A72" s="19"/>
      <c r="B72" s="12"/>
      <c r="C72" s="13"/>
      <c r="D72" s="45"/>
      <c r="E72" s="13"/>
      <c r="F72" s="13"/>
      <c r="G72" s="14"/>
    </row>
    <row r="73" spans="1:7">
      <c r="A73" s="19"/>
      <c r="B73" s="12"/>
      <c r="C73" s="13"/>
      <c r="D73" s="13"/>
      <c r="E73" s="13"/>
      <c r="F73" s="13"/>
      <c r="G73" s="14"/>
    </row>
    <row r="74" spans="1:7">
      <c r="A74" s="19"/>
      <c r="B74" s="12"/>
      <c r="C74" s="13"/>
      <c r="D74" s="13"/>
      <c r="E74" s="13"/>
      <c r="F74" s="13"/>
      <c r="G74" s="14"/>
    </row>
    <row r="75" spans="1:7">
      <c r="A75" s="19"/>
      <c r="B75" s="12"/>
      <c r="C75" s="13"/>
      <c r="D75" s="13"/>
      <c r="E75" s="13"/>
      <c r="F75" s="13"/>
      <c r="G75" s="14"/>
    </row>
    <row r="76" spans="1:7">
      <c r="A76" s="19"/>
      <c r="B76" s="12"/>
      <c r="C76" s="13"/>
      <c r="D76" s="13"/>
      <c r="E76" s="13"/>
      <c r="F76" s="13"/>
      <c r="G76" s="14"/>
    </row>
    <row r="77" spans="1:7">
      <c r="A77" s="19"/>
      <c r="B77" s="12"/>
      <c r="C77" s="13"/>
      <c r="D77" s="13"/>
      <c r="E77" s="13"/>
      <c r="F77" s="13"/>
      <c r="G77" s="14"/>
    </row>
    <row r="78" spans="1:7">
      <c r="A78" s="11"/>
      <c r="B78" s="12"/>
      <c r="C78" s="13"/>
      <c r="D78" s="13"/>
      <c r="E78" s="13"/>
      <c r="F78" s="13"/>
      <c r="G78" s="14"/>
    </row>
  </sheetData>
  <mergeCells count="77">
    <mergeCell ref="E65:G65"/>
    <mergeCell ref="C68:C69"/>
    <mergeCell ref="D68:D69"/>
    <mergeCell ref="E68:E69"/>
    <mergeCell ref="F68:F69"/>
    <mergeCell ref="A58:A59"/>
    <mergeCell ref="B58:B59"/>
    <mergeCell ref="C58:C59"/>
    <mergeCell ref="D58:D59"/>
    <mergeCell ref="E58:G58"/>
    <mergeCell ref="E59:G59"/>
    <mergeCell ref="E60:G60"/>
    <mergeCell ref="C61:C63"/>
    <mergeCell ref="D61:D63"/>
    <mergeCell ref="E64:G64"/>
    <mergeCell ref="A50:D50"/>
    <mergeCell ref="E50:G50"/>
    <mergeCell ref="C51:C56"/>
    <mergeCell ref="D51:D56"/>
    <mergeCell ref="E51:G51"/>
    <mergeCell ref="E52:G52"/>
    <mergeCell ref="E53:G53"/>
    <mergeCell ref="E54:G54"/>
    <mergeCell ref="E55:G55"/>
    <mergeCell ref="E56:G56"/>
    <mergeCell ref="A57:D57"/>
    <mergeCell ref="E57:G57"/>
    <mergeCell ref="A37:D37"/>
    <mergeCell ref="E37:G37"/>
    <mergeCell ref="C38:C49"/>
    <mergeCell ref="D38:D49"/>
    <mergeCell ref="E38:G38"/>
    <mergeCell ref="E39:G39"/>
    <mergeCell ref="E40:G40"/>
    <mergeCell ref="E41:G41"/>
    <mergeCell ref="E42:G42"/>
    <mergeCell ref="E43:G43"/>
    <mergeCell ref="A33:D33"/>
    <mergeCell ref="E33:G33"/>
    <mergeCell ref="C34:C36"/>
    <mergeCell ref="D34:D36"/>
    <mergeCell ref="E34:G34"/>
    <mergeCell ref="E35:G35"/>
    <mergeCell ref="E36:G36"/>
    <mergeCell ref="A26:D26"/>
    <mergeCell ref="E26:G26"/>
    <mergeCell ref="C27:C32"/>
    <mergeCell ref="D27:D32"/>
    <mergeCell ref="E27:G27"/>
    <mergeCell ref="E28:G28"/>
    <mergeCell ref="E29:G29"/>
    <mergeCell ref="E30:G30"/>
    <mergeCell ref="E31:G31"/>
    <mergeCell ref="E32:G32"/>
    <mergeCell ref="A22:D22"/>
    <mergeCell ref="E22:G22"/>
    <mergeCell ref="C23:C24"/>
    <mergeCell ref="D23:D24"/>
    <mergeCell ref="A25:D25"/>
    <mergeCell ref="E25:G25"/>
    <mergeCell ref="A16:D16"/>
    <mergeCell ref="E16:G16"/>
    <mergeCell ref="C17:C21"/>
    <mergeCell ref="D17:D21"/>
    <mergeCell ref="E17:G17"/>
    <mergeCell ref="E18:G18"/>
    <mergeCell ref="E19:G19"/>
    <mergeCell ref="E20:G20"/>
    <mergeCell ref="E21:G21"/>
    <mergeCell ref="E12:G12"/>
    <mergeCell ref="A13:D13"/>
    <mergeCell ref="E13:G13"/>
    <mergeCell ref="E14:G14"/>
    <mergeCell ref="E15:G15"/>
    <mergeCell ref="B14:B15"/>
    <mergeCell ref="C14:C15"/>
    <mergeCell ref="D14:D1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81"/>
  <sheetViews>
    <sheetView workbookViewId="0">
      <selection activeCell="D83" sqref="C83:D83"/>
    </sheetView>
  </sheetViews>
  <sheetFormatPr defaultRowHeight="15"/>
  <cols>
    <col min="1" max="1" width="90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64</v>
      </c>
    </row>
    <row r="2" spans="1:4">
      <c r="A2" s="1" t="s">
        <v>127</v>
      </c>
      <c r="B2" s="2"/>
      <c r="C2" s="2"/>
      <c r="D2" s="2"/>
    </row>
    <row r="3" spans="1:4">
      <c r="A3" s="1" t="s">
        <v>268</v>
      </c>
      <c r="B3" s="2"/>
      <c r="C3" s="2"/>
      <c r="D3" s="2"/>
    </row>
    <row r="4" spans="1:4">
      <c r="A4" s="25" t="s">
        <v>58</v>
      </c>
      <c r="B4" s="2">
        <v>1988</v>
      </c>
      <c r="C4" s="2"/>
      <c r="D4" s="2"/>
    </row>
    <row r="5" spans="1:4">
      <c r="A5" s="25" t="s">
        <v>59</v>
      </c>
      <c r="B5" s="2">
        <v>4</v>
      </c>
      <c r="C5" s="2"/>
      <c r="D5" s="2"/>
    </row>
    <row r="6" spans="1:4">
      <c r="A6" s="25" t="s">
        <v>60</v>
      </c>
      <c r="B6" s="2">
        <v>3</v>
      </c>
      <c r="C6" s="2"/>
      <c r="D6" s="2"/>
    </row>
    <row r="7" spans="1:4">
      <c r="A7" s="25" t="s">
        <v>61</v>
      </c>
      <c r="B7" s="2">
        <v>36</v>
      </c>
      <c r="C7" s="2"/>
      <c r="D7" s="2"/>
    </row>
    <row r="8" spans="1:4">
      <c r="A8" s="25" t="s">
        <v>72</v>
      </c>
      <c r="B8" s="2">
        <v>1698.6</v>
      </c>
      <c r="C8" s="2"/>
      <c r="D8" s="2"/>
    </row>
    <row r="9" spans="1:4">
      <c r="A9" s="25" t="s">
        <v>62</v>
      </c>
      <c r="B9" s="2">
        <v>174.3</v>
      </c>
      <c r="C9" s="2"/>
      <c r="D9" s="2"/>
    </row>
    <row r="10" spans="1:4">
      <c r="A10" s="25" t="s">
        <v>73</v>
      </c>
      <c r="B10" s="2">
        <v>440.9</v>
      </c>
      <c r="C10" s="2"/>
      <c r="D10" s="2"/>
    </row>
    <row r="11" spans="1:4" ht="36.75">
      <c r="A11" s="52" t="s">
        <v>1</v>
      </c>
      <c r="B11" s="52" t="s">
        <v>2</v>
      </c>
      <c r="C11" s="52" t="s">
        <v>3</v>
      </c>
      <c r="D11" s="52" t="s">
        <v>4</v>
      </c>
    </row>
    <row r="12" spans="1:4">
      <c r="A12" s="157" t="s">
        <v>5</v>
      </c>
      <c r="B12" s="158"/>
      <c r="C12" s="158"/>
      <c r="D12" s="159"/>
    </row>
    <row r="13" spans="1:4" ht="88.5" customHeight="1">
      <c r="A13" s="104" t="s">
        <v>6</v>
      </c>
      <c r="B13" s="160" t="s">
        <v>8</v>
      </c>
      <c r="C13" s="153">
        <v>1.92</v>
      </c>
      <c r="D13" s="163">
        <f>C13*12*B8</f>
        <v>39135.743999999999</v>
      </c>
    </row>
    <row r="14" spans="1:4" ht="75.75" customHeight="1">
      <c r="A14" s="103" t="s">
        <v>89</v>
      </c>
      <c r="B14" s="161"/>
      <c r="C14" s="162"/>
      <c r="D14" s="164"/>
    </row>
    <row r="15" spans="1:4">
      <c r="A15" s="6" t="s">
        <v>9</v>
      </c>
      <c r="B15" s="52"/>
      <c r="C15" s="26"/>
      <c r="D15" s="30"/>
    </row>
    <row r="16" spans="1:4">
      <c r="A16" s="6" t="s">
        <v>332</v>
      </c>
      <c r="B16" s="129" t="s">
        <v>88</v>
      </c>
      <c r="C16" s="44">
        <v>0.46</v>
      </c>
      <c r="D16" s="30">
        <f>C16*12*B8</f>
        <v>9376.2720000000008</v>
      </c>
    </row>
    <row r="17" spans="1:4">
      <c r="A17" s="6" t="s">
        <v>333</v>
      </c>
      <c r="B17" s="129" t="s">
        <v>88</v>
      </c>
      <c r="C17" s="44">
        <v>0.71</v>
      </c>
      <c r="D17" s="30">
        <f>C17*12*B8</f>
        <v>14472.071999999998</v>
      </c>
    </row>
    <row r="18" spans="1:4">
      <c r="A18" s="165" t="s">
        <v>10</v>
      </c>
      <c r="B18" s="165"/>
      <c r="C18" s="165"/>
      <c r="D18" s="165"/>
    </row>
    <row r="19" spans="1:4" ht="13.5" customHeight="1">
      <c r="A19" s="39" t="s">
        <v>97</v>
      </c>
      <c r="B19" s="51"/>
      <c r="C19" s="51"/>
      <c r="D19" s="51"/>
    </row>
    <row r="20" spans="1:4" ht="13.5" customHeight="1">
      <c r="A20" s="6" t="s">
        <v>11</v>
      </c>
      <c r="B20" s="52" t="s">
        <v>75</v>
      </c>
      <c r="C20" s="152">
        <v>2.16</v>
      </c>
      <c r="D20" s="166">
        <f>C20*B8*12</f>
        <v>44027.712</v>
      </c>
    </row>
    <row r="21" spans="1:4" ht="12.75" customHeight="1">
      <c r="A21" s="6" t="s">
        <v>12</v>
      </c>
      <c r="B21" s="52" t="s">
        <v>75</v>
      </c>
      <c r="C21" s="152"/>
      <c r="D21" s="155"/>
    </row>
    <row r="22" spans="1:4" ht="14.25" customHeight="1">
      <c r="A22" s="6" t="s">
        <v>13</v>
      </c>
      <c r="B22" s="52" t="s">
        <v>75</v>
      </c>
      <c r="C22" s="152"/>
      <c r="D22" s="155"/>
    </row>
    <row r="23" spans="1:4" ht="13.5" customHeight="1">
      <c r="A23" s="6" t="s">
        <v>14</v>
      </c>
      <c r="B23" s="52" t="s">
        <v>76</v>
      </c>
      <c r="C23" s="152"/>
      <c r="D23" s="155"/>
    </row>
    <row r="24" spans="1:4" ht="12.75" customHeight="1">
      <c r="A24" s="39" t="s">
        <v>93</v>
      </c>
      <c r="B24" s="52"/>
      <c r="C24" s="152"/>
      <c r="D24" s="155"/>
    </row>
    <row r="25" spans="1:4" ht="30" customHeight="1">
      <c r="A25" s="6" t="s">
        <v>15</v>
      </c>
      <c r="B25" s="52" t="s">
        <v>94</v>
      </c>
      <c r="C25" s="152"/>
      <c r="D25" s="156"/>
    </row>
    <row r="26" spans="1:4" ht="12.75" customHeight="1">
      <c r="A26" s="157" t="s">
        <v>16</v>
      </c>
      <c r="B26" s="158"/>
      <c r="C26" s="158"/>
      <c r="D26" s="159"/>
    </row>
    <row r="27" spans="1:4" ht="12" customHeight="1">
      <c r="A27" s="7" t="s">
        <v>17</v>
      </c>
      <c r="B27" s="21" t="s">
        <v>78</v>
      </c>
      <c r="C27" s="152">
        <v>0.2</v>
      </c>
      <c r="D27" s="167">
        <f>C27*B8*12</f>
        <v>4076.6400000000003</v>
      </c>
    </row>
    <row r="28" spans="1:4" ht="12" customHeight="1">
      <c r="A28" s="7" t="s">
        <v>18</v>
      </c>
      <c r="B28" s="21" t="s">
        <v>77</v>
      </c>
      <c r="C28" s="152"/>
      <c r="D28" s="167"/>
    </row>
    <row r="29" spans="1:4" ht="13.5" customHeight="1">
      <c r="A29" s="157" t="s">
        <v>19</v>
      </c>
      <c r="B29" s="158"/>
      <c r="C29" s="158"/>
      <c r="D29" s="159"/>
    </row>
    <row r="30" spans="1:4">
      <c r="A30" s="167" t="s">
        <v>20</v>
      </c>
      <c r="B30" s="167"/>
      <c r="C30" s="167"/>
      <c r="D30" s="167"/>
    </row>
    <row r="31" spans="1:4" ht="37.5" customHeight="1">
      <c r="A31" s="8" t="s">
        <v>21</v>
      </c>
      <c r="B31" s="22" t="s">
        <v>79</v>
      </c>
      <c r="C31" s="152">
        <v>0.79</v>
      </c>
      <c r="D31" s="154">
        <f>C31*B8*12</f>
        <v>16102.727999999999</v>
      </c>
    </row>
    <row r="32" spans="1:4" ht="15" customHeight="1">
      <c r="A32" s="9" t="s">
        <v>23</v>
      </c>
      <c r="B32" s="23" t="s">
        <v>80</v>
      </c>
      <c r="C32" s="152"/>
      <c r="D32" s="155"/>
    </row>
    <row r="33" spans="1:4" ht="13.5" customHeight="1">
      <c r="A33" s="9" t="s">
        <v>25</v>
      </c>
      <c r="B33" s="23" t="s">
        <v>80</v>
      </c>
      <c r="C33" s="152"/>
      <c r="D33" s="155"/>
    </row>
    <row r="34" spans="1:4" ht="36" customHeight="1">
      <c r="A34" s="9" t="s">
        <v>26</v>
      </c>
      <c r="B34" s="22" t="s">
        <v>22</v>
      </c>
      <c r="C34" s="152"/>
      <c r="D34" s="155"/>
    </row>
    <row r="35" spans="1:4" ht="14.25" customHeight="1">
      <c r="A35" s="9" t="s">
        <v>27</v>
      </c>
      <c r="B35" s="22" t="s">
        <v>88</v>
      </c>
      <c r="C35" s="152"/>
      <c r="D35" s="155"/>
    </row>
    <row r="36" spans="1:4" ht="33.75" customHeight="1">
      <c r="A36" s="24" t="s">
        <v>28</v>
      </c>
      <c r="B36" s="22" t="s">
        <v>22</v>
      </c>
      <c r="C36" s="153"/>
      <c r="D36" s="156"/>
    </row>
    <row r="37" spans="1:4" ht="15.75" customHeight="1">
      <c r="A37" s="167" t="s">
        <v>65</v>
      </c>
      <c r="B37" s="167"/>
      <c r="C37" s="167"/>
      <c r="D37" s="167"/>
    </row>
    <row r="38" spans="1:4" ht="36.75" customHeight="1">
      <c r="A38" s="9" t="s">
        <v>66</v>
      </c>
      <c r="B38" s="22" t="s">
        <v>79</v>
      </c>
      <c r="C38" s="154">
        <v>1.29</v>
      </c>
      <c r="D38" s="152">
        <f>C38*B8*12</f>
        <v>26294.328000000001</v>
      </c>
    </row>
    <row r="39" spans="1:4" ht="14.25" customHeight="1">
      <c r="A39" s="9" t="s">
        <v>67</v>
      </c>
      <c r="B39" s="22" t="s">
        <v>80</v>
      </c>
      <c r="C39" s="154"/>
      <c r="D39" s="168"/>
    </row>
    <row r="40" spans="1:4" ht="14.25" customHeight="1">
      <c r="A40" s="9" t="s">
        <v>68</v>
      </c>
      <c r="B40" s="22" t="s">
        <v>80</v>
      </c>
      <c r="C40" s="154"/>
      <c r="D40" s="168"/>
    </row>
    <row r="41" spans="1:4" ht="24" customHeight="1">
      <c r="A41" s="9" t="s">
        <v>69</v>
      </c>
      <c r="B41" s="22" t="s">
        <v>79</v>
      </c>
      <c r="C41" s="154"/>
      <c r="D41" s="168"/>
    </row>
    <row r="42" spans="1:4" ht="25.5" customHeight="1">
      <c r="A42" s="10" t="s">
        <v>70</v>
      </c>
      <c r="B42" s="22" t="s">
        <v>79</v>
      </c>
      <c r="C42" s="154"/>
      <c r="D42" s="168"/>
    </row>
    <row r="43" spans="1:4" ht="14.25" customHeight="1">
      <c r="A43" s="9" t="s">
        <v>71</v>
      </c>
      <c r="B43" s="22" t="s">
        <v>88</v>
      </c>
      <c r="C43" s="154"/>
      <c r="D43" s="162"/>
    </row>
    <row r="44" spans="1:4" ht="11.25" customHeight="1">
      <c r="A44" s="169" t="s">
        <v>29</v>
      </c>
      <c r="B44" s="169"/>
      <c r="C44" s="169"/>
      <c r="D44" s="169"/>
    </row>
    <row r="45" spans="1:4" ht="35.25" customHeight="1">
      <c r="A45" s="9" t="s">
        <v>30</v>
      </c>
      <c r="B45" s="22" t="s">
        <v>22</v>
      </c>
      <c r="C45" s="154">
        <v>0.91</v>
      </c>
      <c r="D45" s="152">
        <f>C45*12*B8</f>
        <v>18548.712</v>
      </c>
    </row>
    <row r="46" spans="1:4" ht="38.25" customHeight="1">
      <c r="A46" s="9" t="s">
        <v>31</v>
      </c>
      <c r="B46" s="22" t="s">
        <v>22</v>
      </c>
      <c r="C46" s="154"/>
      <c r="D46" s="152"/>
    </row>
    <row r="47" spans="1:4" ht="15" customHeight="1">
      <c r="A47" s="10" t="s">
        <v>32</v>
      </c>
      <c r="B47" s="22" t="s">
        <v>22</v>
      </c>
      <c r="C47" s="154"/>
      <c r="D47" s="152"/>
    </row>
    <row r="48" spans="1:4" ht="12.75" customHeight="1">
      <c r="A48" s="167" t="s">
        <v>33</v>
      </c>
      <c r="B48" s="167"/>
      <c r="C48" s="167"/>
      <c r="D48" s="167"/>
    </row>
    <row r="49" spans="1:4" ht="29.25" customHeight="1">
      <c r="A49" s="9" t="s">
        <v>34</v>
      </c>
      <c r="B49" s="22" t="s">
        <v>77</v>
      </c>
      <c r="C49" s="154">
        <v>2.5</v>
      </c>
      <c r="D49" s="154">
        <f>C49*12*B8</f>
        <v>50958</v>
      </c>
    </row>
    <row r="50" spans="1:4" ht="14.25" customHeight="1">
      <c r="A50" s="9" t="s">
        <v>35</v>
      </c>
      <c r="B50" s="22" t="s">
        <v>81</v>
      </c>
      <c r="C50" s="154"/>
      <c r="D50" s="154"/>
    </row>
    <row r="51" spans="1:4" ht="17.25" customHeight="1">
      <c r="A51" s="9" t="s">
        <v>36</v>
      </c>
      <c r="B51" s="22" t="s">
        <v>81</v>
      </c>
      <c r="C51" s="154"/>
      <c r="D51" s="154"/>
    </row>
    <row r="52" spans="1:4" ht="24.75" customHeight="1">
      <c r="A52" s="9" t="s">
        <v>37</v>
      </c>
      <c r="B52" s="22" t="s">
        <v>82</v>
      </c>
      <c r="C52" s="154"/>
      <c r="D52" s="154"/>
    </row>
    <row r="53" spans="1:4" ht="30" customHeight="1">
      <c r="A53" s="9" t="s">
        <v>38</v>
      </c>
      <c r="B53" s="22" t="s">
        <v>82</v>
      </c>
      <c r="C53" s="154"/>
      <c r="D53" s="154"/>
    </row>
    <row r="54" spans="1:4" ht="12.75" customHeight="1">
      <c r="A54" s="51" t="s">
        <v>95</v>
      </c>
      <c r="B54" s="6"/>
      <c r="C54" s="154"/>
      <c r="D54" s="154"/>
    </row>
    <row r="55" spans="1:4" ht="35.25" customHeight="1">
      <c r="A55" s="9" t="s">
        <v>40</v>
      </c>
      <c r="B55" s="22" t="s">
        <v>79</v>
      </c>
      <c r="C55" s="154"/>
      <c r="D55" s="154"/>
    </row>
    <row r="56" spans="1:4" ht="14.25" customHeight="1">
      <c r="A56" s="9" t="s">
        <v>41</v>
      </c>
      <c r="B56" s="22" t="s">
        <v>24</v>
      </c>
      <c r="C56" s="154"/>
      <c r="D56" s="154"/>
    </row>
    <row r="57" spans="1:4" ht="14.25" customHeight="1">
      <c r="A57" s="9" t="s">
        <v>42</v>
      </c>
      <c r="B57" s="23" t="s">
        <v>24</v>
      </c>
      <c r="C57" s="154"/>
      <c r="D57" s="154"/>
    </row>
    <row r="58" spans="1:4" ht="13.5" customHeight="1">
      <c r="A58" s="9" t="s">
        <v>43</v>
      </c>
      <c r="B58" s="23" t="s">
        <v>24</v>
      </c>
      <c r="C58" s="154"/>
      <c r="D58" s="154"/>
    </row>
    <row r="59" spans="1:4" ht="13.5" customHeight="1">
      <c r="A59" s="9" t="s">
        <v>44</v>
      </c>
      <c r="B59" s="21" t="s">
        <v>128</v>
      </c>
      <c r="C59" s="154"/>
      <c r="D59" s="154"/>
    </row>
    <row r="60" spans="1:4" ht="36.75" customHeight="1">
      <c r="A60" s="10" t="s">
        <v>45</v>
      </c>
      <c r="B60" s="22" t="s">
        <v>22</v>
      </c>
      <c r="C60" s="154"/>
      <c r="D60" s="154"/>
    </row>
    <row r="61" spans="1:4">
      <c r="A61" s="167" t="s">
        <v>46</v>
      </c>
      <c r="B61" s="167"/>
      <c r="C61" s="167"/>
      <c r="D61" s="167"/>
    </row>
    <row r="62" spans="1:4" ht="15.75" customHeight="1">
      <c r="A62" s="9" t="s">
        <v>47</v>
      </c>
      <c r="B62" s="22" t="s">
        <v>83</v>
      </c>
      <c r="C62" s="152">
        <v>1.77</v>
      </c>
      <c r="D62" s="154">
        <f>C62*B8*12+275.68</f>
        <v>36353.943999999996</v>
      </c>
    </row>
    <row r="63" spans="1:4" ht="12.75" customHeight="1">
      <c r="A63" s="9" t="s">
        <v>48</v>
      </c>
      <c r="B63" s="22" t="s">
        <v>83</v>
      </c>
      <c r="C63" s="152"/>
      <c r="D63" s="154"/>
    </row>
    <row r="64" spans="1:4" ht="28.5" customHeight="1">
      <c r="A64" s="9" t="s">
        <v>49</v>
      </c>
      <c r="B64" s="22" t="s">
        <v>83</v>
      </c>
      <c r="C64" s="152"/>
      <c r="D64" s="154"/>
    </row>
    <row r="65" spans="1:4" ht="16.5" customHeight="1">
      <c r="A65" s="9" t="s">
        <v>50</v>
      </c>
      <c r="B65" s="22" t="s">
        <v>83</v>
      </c>
      <c r="C65" s="152"/>
      <c r="D65" s="154"/>
    </row>
    <row r="66" spans="1:4" ht="39.75" customHeight="1">
      <c r="A66" s="10" t="s">
        <v>51</v>
      </c>
      <c r="B66" s="22" t="s">
        <v>22</v>
      </c>
      <c r="C66" s="152"/>
      <c r="D66" s="154"/>
    </row>
    <row r="67" spans="1:4" ht="16.5" customHeight="1">
      <c r="A67" s="10" t="s">
        <v>52</v>
      </c>
      <c r="B67" s="23" t="s">
        <v>84</v>
      </c>
      <c r="C67" s="152"/>
      <c r="D67" s="154"/>
    </row>
    <row r="68" spans="1:4">
      <c r="A68" s="157" t="s">
        <v>85</v>
      </c>
      <c r="B68" s="158"/>
      <c r="C68" s="158"/>
      <c r="D68" s="159"/>
    </row>
    <row r="69" spans="1:4" ht="26.25" customHeight="1">
      <c r="A69" s="175" t="s">
        <v>96</v>
      </c>
      <c r="B69" s="177" t="s">
        <v>86</v>
      </c>
      <c r="C69" s="152">
        <v>2.41</v>
      </c>
      <c r="D69" s="154">
        <f>C69*B8*12</f>
        <v>49123.512000000002</v>
      </c>
    </row>
    <row r="70" spans="1:4" ht="13.5" customHeight="1">
      <c r="A70" s="176"/>
      <c r="B70" s="177"/>
      <c r="C70" s="152"/>
      <c r="D70" s="154"/>
    </row>
    <row r="71" spans="1:4" ht="15" customHeight="1">
      <c r="A71" s="157" t="s">
        <v>55</v>
      </c>
      <c r="B71" s="158"/>
      <c r="C71" s="158"/>
      <c r="D71" s="159"/>
    </row>
    <row r="72" spans="1:4" ht="16.5" customHeight="1">
      <c r="A72" s="6" t="s">
        <v>90</v>
      </c>
      <c r="B72" s="21" t="s">
        <v>87</v>
      </c>
      <c r="C72" s="170">
        <v>2.14</v>
      </c>
      <c r="D72" s="172">
        <f>3635.01+39992.85</f>
        <v>43627.86</v>
      </c>
    </row>
    <row r="73" spans="1:4">
      <c r="A73" s="6" t="s">
        <v>91</v>
      </c>
      <c r="B73" s="21" t="s">
        <v>87</v>
      </c>
      <c r="C73" s="171"/>
      <c r="D73" s="173"/>
    </row>
    <row r="74" spans="1:4" ht="15" customHeight="1">
      <c r="A74" s="6" t="s">
        <v>92</v>
      </c>
      <c r="B74" s="21" t="s">
        <v>87</v>
      </c>
      <c r="C74" s="169"/>
      <c r="D74" s="174"/>
    </row>
    <row r="75" spans="1:4" ht="38.25" customHeight="1">
      <c r="A75" s="6" t="s">
        <v>143</v>
      </c>
      <c r="B75" s="22" t="s">
        <v>22</v>
      </c>
      <c r="C75" s="50">
        <v>4.3499999999999996</v>
      </c>
      <c r="D75" s="50">
        <f>C75*12*B8</f>
        <v>88666.919999999984</v>
      </c>
    </row>
    <row r="76" spans="1:4">
      <c r="A76" s="51" t="s">
        <v>56</v>
      </c>
      <c r="B76" s="23"/>
      <c r="C76" s="28">
        <f>C75+C72+C69+C62+C49+C45+C38+C31+C27+C20+C17+C16+C13</f>
        <v>21.61</v>
      </c>
      <c r="D76" s="28">
        <f>D75+D72+D69+D62+D49+D45+D38+D31+D27+D20+D17+D16+D13</f>
        <v>440764.4439999999</v>
      </c>
    </row>
    <row r="78" spans="1:4">
      <c r="D78" s="40"/>
    </row>
    <row r="79" spans="1:4">
      <c r="D79" s="40"/>
    </row>
    <row r="80" spans="1:4">
      <c r="D80" s="40"/>
    </row>
    <row r="81" spans="4:4">
      <c r="D81" s="40"/>
    </row>
  </sheetData>
  <mergeCells count="34">
    <mergeCell ref="A48:D48"/>
    <mergeCell ref="A71:D71"/>
    <mergeCell ref="C72:C74"/>
    <mergeCell ref="D72:D74"/>
    <mergeCell ref="A61:D61"/>
    <mergeCell ref="C62:C67"/>
    <mergeCell ref="D62:D67"/>
    <mergeCell ref="A68:D68"/>
    <mergeCell ref="A69:A70"/>
    <mergeCell ref="B69:B70"/>
    <mergeCell ref="C69:C70"/>
    <mergeCell ref="D69:D70"/>
    <mergeCell ref="C49:C60"/>
    <mergeCell ref="D49:D60"/>
    <mergeCell ref="A37:D37"/>
    <mergeCell ref="A12:D12"/>
    <mergeCell ref="A18:D18"/>
    <mergeCell ref="C20:C25"/>
    <mergeCell ref="D20:D25"/>
    <mergeCell ref="A26:D26"/>
    <mergeCell ref="D13:D14"/>
    <mergeCell ref="B13:B14"/>
    <mergeCell ref="C13:C14"/>
    <mergeCell ref="C27:C28"/>
    <mergeCell ref="D27:D28"/>
    <mergeCell ref="A29:D29"/>
    <mergeCell ref="A30:D30"/>
    <mergeCell ref="C31:C36"/>
    <mergeCell ref="D31:D36"/>
    <mergeCell ref="A44:D44"/>
    <mergeCell ref="C45:C47"/>
    <mergeCell ref="D45:D47"/>
    <mergeCell ref="C38:C43"/>
    <mergeCell ref="D38:D4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E81"/>
  <sheetViews>
    <sheetView topLeftCell="A46" workbookViewId="0">
      <selection activeCell="A15" sqref="A15:XFD16"/>
    </sheetView>
  </sheetViews>
  <sheetFormatPr defaultRowHeight="15"/>
  <cols>
    <col min="1" max="1" width="92.42578125" customWidth="1"/>
    <col min="2" max="2" width="13" customWidth="1"/>
    <col min="3" max="3" width="10" customWidth="1"/>
    <col min="4" max="4" width="12" customWidth="1"/>
  </cols>
  <sheetData>
    <row r="1" spans="1:5">
      <c r="A1" s="1" t="s">
        <v>0</v>
      </c>
      <c r="B1" s="2"/>
      <c r="C1" s="2"/>
      <c r="D1" s="2" t="s">
        <v>64</v>
      </c>
    </row>
    <row r="2" spans="1:5">
      <c r="A2" s="1" t="s">
        <v>124</v>
      </c>
      <c r="B2" s="2"/>
      <c r="C2" s="2"/>
      <c r="D2" s="2"/>
    </row>
    <row r="3" spans="1:5">
      <c r="A3" s="1" t="s">
        <v>268</v>
      </c>
      <c r="B3" s="2"/>
      <c r="C3" s="2"/>
      <c r="D3" s="2"/>
    </row>
    <row r="4" spans="1:5">
      <c r="A4" s="25" t="s">
        <v>58</v>
      </c>
      <c r="B4" s="2">
        <v>1991</v>
      </c>
      <c r="C4" s="2"/>
      <c r="D4" s="2"/>
    </row>
    <row r="5" spans="1:5">
      <c r="A5" s="25" t="s">
        <v>59</v>
      </c>
      <c r="B5" s="2">
        <v>4</v>
      </c>
      <c r="C5" s="2"/>
      <c r="D5" s="2"/>
    </row>
    <row r="6" spans="1:5">
      <c r="A6" s="25" t="s">
        <v>60</v>
      </c>
      <c r="B6" s="2">
        <v>3</v>
      </c>
      <c r="C6" s="2"/>
      <c r="D6" s="2"/>
    </row>
    <row r="7" spans="1:5">
      <c r="A7" s="25" t="s">
        <v>61</v>
      </c>
      <c r="B7" s="2">
        <v>36</v>
      </c>
      <c r="C7" s="2"/>
      <c r="D7" s="2"/>
    </row>
    <row r="8" spans="1:5">
      <c r="A8" s="25" t="s">
        <v>72</v>
      </c>
      <c r="B8" s="2">
        <v>1709.6</v>
      </c>
      <c r="C8" s="2"/>
      <c r="D8" s="2"/>
    </row>
    <row r="9" spans="1:5">
      <c r="A9" s="25" t="s">
        <v>62</v>
      </c>
      <c r="B9" s="2">
        <v>173.7</v>
      </c>
      <c r="C9" s="2"/>
      <c r="D9" s="2"/>
    </row>
    <row r="10" spans="1:5">
      <c r="A10" s="25" t="s">
        <v>73</v>
      </c>
      <c r="B10" s="2">
        <v>440.7</v>
      </c>
      <c r="C10" s="2"/>
      <c r="D10" s="2"/>
    </row>
    <row r="11" spans="1:5" ht="36.75">
      <c r="A11" s="52" t="s">
        <v>1</v>
      </c>
      <c r="B11" s="52" t="s">
        <v>2</v>
      </c>
      <c r="C11" s="52" t="s">
        <v>3</v>
      </c>
      <c r="D11" s="52" t="s">
        <v>4</v>
      </c>
    </row>
    <row r="12" spans="1:5">
      <c r="A12" s="178" t="s">
        <v>5</v>
      </c>
      <c r="B12" s="158"/>
      <c r="C12" s="158"/>
      <c r="D12" s="159"/>
    </row>
    <row r="13" spans="1:5" ht="88.5" customHeight="1">
      <c r="A13" s="104" t="s">
        <v>6</v>
      </c>
      <c r="B13" s="160" t="s">
        <v>8</v>
      </c>
      <c r="C13" s="153">
        <v>1.04</v>
      </c>
      <c r="D13" s="163">
        <f>C13*12*B8</f>
        <v>21335.808000000001</v>
      </c>
    </row>
    <row r="14" spans="1:5" ht="75.75" customHeight="1">
      <c r="A14" s="103" t="s">
        <v>89</v>
      </c>
      <c r="B14" s="161"/>
      <c r="C14" s="162"/>
      <c r="D14" s="164"/>
      <c r="E14" s="116"/>
    </row>
    <row r="15" spans="1:5">
      <c r="A15" s="103" t="s">
        <v>9</v>
      </c>
      <c r="B15" s="52"/>
      <c r="C15" s="26"/>
      <c r="D15" s="30"/>
    </row>
    <row r="16" spans="1:5">
      <c r="A16" s="103" t="s">
        <v>318</v>
      </c>
      <c r="B16" s="127" t="s">
        <v>117</v>
      </c>
      <c r="C16" s="26">
        <v>3.06</v>
      </c>
      <c r="D16" s="30">
        <f>C16*12*B8</f>
        <v>62776.511999999995</v>
      </c>
    </row>
    <row r="17" spans="1:4">
      <c r="A17" s="6" t="s">
        <v>125</v>
      </c>
      <c r="B17" s="52" t="s">
        <v>105</v>
      </c>
      <c r="C17" s="44">
        <v>0.44</v>
      </c>
      <c r="D17" s="30">
        <f>C17*12*B8</f>
        <v>9026.6880000000001</v>
      </c>
    </row>
    <row r="18" spans="1:4">
      <c r="A18" s="165" t="s">
        <v>10</v>
      </c>
      <c r="B18" s="165"/>
      <c r="C18" s="165"/>
      <c r="D18" s="165"/>
    </row>
    <row r="19" spans="1:4" ht="13.5" customHeight="1">
      <c r="A19" s="39" t="s">
        <v>97</v>
      </c>
      <c r="B19" s="51"/>
      <c r="C19" s="51"/>
      <c r="D19" s="51"/>
    </row>
    <row r="20" spans="1:4" ht="13.5" customHeight="1">
      <c r="A20" s="6" t="s">
        <v>11</v>
      </c>
      <c r="B20" s="52" t="s">
        <v>75</v>
      </c>
      <c r="C20" s="152">
        <v>2.16</v>
      </c>
      <c r="D20" s="166">
        <f>C20*B8*12</f>
        <v>44312.831999999995</v>
      </c>
    </row>
    <row r="21" spans="1:4" ht="12.75" customHeight="1">
      <c r="A21" s="6" t="s">
        <v>12</v>
      </c>
      <c r="B21" s="52" t="s">
        <v>75</v>
      </c>
      <c r="C21" s="152"/>
      <c r="D21" s="155"/>
    </row>
    <row r="22" spans="1:4" ht="14.25" customHeight="1">
      <c r="A22" s="6" t="s">
        <v>13</v>
      </c>
      <c r="B22" s="52" t="s">
        <v>75</v>
      </c>
      <c r="C22" s="152"/>
      <c r="D22" s="155"/>
    </row>
    <row r="23" spans="1:4" ht="13.5" customHeight="1">
      <c r="A23" s="6" t="s">
        <v>14</v>
      </c>
      <c r="B23" s="52" t="s">
        <v>76</v>
      </c>
      <c r="C23" s="152"/>
      <c r="D23" s="155"/>
    </row>
    <row r="24" spans="1:4" ht="12.75" customHeight="1">
      <c r="A24" s="39" t="s">
        <v>93</v>
      </c>
      <c r="B24" s="52"/>
      <c r="C24" s="152"/>
      <c r="D24" s="155"/>
    </row>
    <row r="25" spans="1:4" ht="30" customHeight="1">
      <c r="A25" s="6" t="s">
        <v>15</v>
      </c>
      <c r="B25" s="52" t="s">
        <v>94</v>
      </c>
      <c r="C25" s="152"/>
      <c r="D25" s="156"/>
    </row>
    <row r="26" spans="1:4" ht="12.75" customHeight="1">
      <c r="A26" s="157" t="s">
        <v>16</v>
      </c>
      <c r="B26" s="158"/>
      <c r="C26" s="158"/>
      <c r="D26" s="159"/>
    </row>
    <row r="27" spans="1:4" ht="12" customHeight="1">
      <c r="A27" s="7" t="s">
        <v>17</v>
      </c>
      <c r="B27" s="21" t="s">
        <v>78</v>
      </c>
      <c r="C27" s="152">
        <v>0.2</v>
      </c>
      <c r="D27" s="167">
        <f>C27*B8*12</f>
        <v>4103.04</v>
      </c>
    </row>
    <row r="28" spans="1:4" ht="12" customHeight="1">
      <c r="A28" s="7" t="s">
        <v>18</v>
      </c>
      <c r="B28" s="21" t="s">
        <v>77</v>
      </c>
      <c r="C28" s="152"/>
      <c r="D28" s="167"/>
    </row>
    <row r="29" spans="1:4" ht="13.5" customHeight="1">
      <c r="A29" s="157" t="s">
        <v>19</v>
      </c>
      <c r="B29" s="158"/>
      <c r="C29" s="158"/>
      <c r="D29" s="159"/>
    </row>
    <row r="30" spans="1:4">
      <c r="A30" s="167" t="s">
        <v>20</v>
      </c>
      <c r="B30" s="167"/>
      <c r="C30" s="167"/>
      <c r="D30" s="167"/>
    </row>
    <row r="31" spans="1:4" ht="37.5" customHeight="1">
      <c r="A31" s="8" t="s">
        <v>21</v>
      </c>
      <c r="B31" s="22" t="s">
        <v>79</v>
      </c>
      <c r="C31" s="152">
        <v>0.79</v>
      </c>
      <c r="D31" s="154">
        <f>C31*B8*12</f>
        <v>16207.008000000002</v>
      </c>
    </row>
    <row r="32" spans="1:4" ht="15" customHeight="1">
      <c r="A32" s="9" t="s">
        <v>23</v>
      </c>
      <c r="B32" s="23" t="s">
        <v>80</v>
      </c>
      <c r="C32" s="152"/>
      <c r="D32" s="155"/>
    </row>
    <row r="33" spans="1:4" ht="13.5" customHeight="1">
      <c r="A33" s="9" t="s">
        <v>25</v>
      </c>
      <c r="B33" s="23" t="s">
        <v>80</v>
      </c>
      <c r="C33" s="152"/>
      <c r="D33" s="155"/>
    </row>
    <row r="34" spans="1:4" ht="36" customHeight="1">
      <c r="A34" s="9" t="s">
        <v>26</v>
      </c>
      <c r="B34" s="22" t="s">
        <v>22</v>
      </c>
      <c r="C34" s="152"/>
      <c r="D34" s="155"/>
    </row>
    <row r="35" spans="1:4" ht="14.25" customHeight="1">
      <c r="A35" s="9" t="s">
        <v>27</v>
      </c>
      <c r="B35" s="22" t="s">
        <v>24</v>
      </c>
      <c r="C35" s="152"/>
      <c r="D35" s="155"/>
    </row>
    <row r="36" spans="1:4" ht="33.75" customHeight="1">
      <c r="A36" s="24" t="s">
        <v>28</v>
      </c>
      <c r="B36" s="22" t="s">
        <v>22</v>
      </c>
      <c r="C36" s="153"/>
      <c r="D36" s="156"/>
    </row>
    <row r="37" spans="1:4" ht="15.75" customHeight="1">
      <c r="A37" s="167" t="s">
        <v>65</v>
      </c>
      <c r="B37" s="167"/>
      <c r="C37" s="167"/>
      <c r="D37" s="167"/>
    </row>
    <row r="38" spans="1:4" ht="36.75" customHeight="1">
      <c r="A38" s="9" t="s">
        <v>66</v>
      </c>
      <c r="B38" s="22" t="s">
        <v>79</v>
      </c>
      <c r="C38" s="154">
        <v>1.29</v>
      </c>
      <c r="D38" s="152">
        <f>C38*B8*12</f>
        <v>26464.608</v>
      </c>
    </row>
    <row r="39" spans="1:4" ht="14.25" customHeight="1">
      <c r="A39" s="9" t="s">
        <v>67</v>
      </c>
      <c r="B39" s="22" t="s">
        <v>80</v>
      </c>
      <c r="C39" s="154"/>
      <c r="D39" s="168"/>
    </row>
    <row r="40" spans="1:4" ht="14.25" customHeight="1">
      <c r="A40" s="9" t="s">
        <v>68</v>
      </c>
      <c r="B40" s="22" t="s">
        <v>80</v>
      </c>
      <c r="C40" s="154"/>
      <c r="D40" s="168"/>
    </row>
    <row r="41" spans="1:4" ht="24" customHeight="1">
      <c r="A41" s="9" t="s">
        <v>69</v>
      </c>
      <c r="B41" s="22" t="s">
        <v>79</v>
      </c>
      <c r="C41" s="154"/>
      <c r="D41" s="168"/>
    </row>
    <row r="42" spans="1:4" ht="25.5" customHeight="1">
      <c r="A42" s="10" t="s">
        <v>70</v>
      </c>
      <c r="B42" s="22" t="s">
        <v>79</v>
      </c>
      <c r="C42" s="154"/>
      <c r="D42" s="168"/>
    </row>
    <row r="43" spans="1:4" ht="14.25" customHeight="1">
      <c r="A43" s="9" t="s">
        <v>71</v>
      </c>
      <c r="B43" s="22" t="s">
        <v>24</v>
      </c>
      <c r="C43" s="154"/>
      <c r="D43" s="162"/>
    </row>
    <row r="44" spans="1:4" ht="11.25" customHeight="1">
      <c r="A44" s="169" t="s">
        <v>29</v>
      </c>
      <c r="B44" s="169"/>
      <c r="C44" s="169"/>
      <c r="D44" s="169"/>
    </row>
    <row r="45" spans="1:4" ht="35.25" customHeight="1">
      <c r="A45" s="9" t="s">
        <v>30</v>
      </c>
      <c r="B45" s="22" t="s">
        <v>22</v>
      </c>
      <c r="C45" s="154">
        <v>0.91</v>
      </c>
      <c r="D45" s="152">
        <f>C45*12*B8</f>
        <v>18668.831999999999</v>
      </c>
    </row>
    <row r="46" spans="1:4" ht="38.25" customHeight="1">
      <c r="A46" s="9" t="s">
        <v>31</v>
      </c>
      <c r="B46" s="22" t="s">
        <v>22</v>
      </c>
      <c r="C46" s="154"/>
      <c r="D46" s="152"/>
    </row>
    <row r="47" spans="1:4" ht="15" customHeight="1">
      <c r="A47" s="10" t="s">
        <v>32</v>
      </c>
      <c r="B47" s="22" t="s">
        <v>22</v>
      </c>
      <c r="C47" s="154"/>
      <c r="D47" s="152"/>
    </row>
    <row r="48" spans="1:4" ht="12.75" customHeight="1">
      <c r="A48" s="167" t="s">
        <v>33</v>
      </c>
      <c r="B48" s="167"/>
      <c r="C48" s="167"/>
      <c r="D48" s="167"/>
    </row>
    <row r="49" spans="1:4" ht="29.25" customHeight="1">
      <c r="A49" s="9" t="s">
        <v>34</v>
      </c>
      <c r="B49" s="22" t="s">
        <v>77</v>
      </c>
      <c r="C49" s="154">
        <v>1.68</v>
      </c>
      <c r="D49" s="154">
        <f>C49*12*B8</f>
        <v>34465.536</v>
      </c>
    </row>
    <row r="50" spans="1:4" ht="14.25" customHeight="1">
      <c r="A50" s="9" t="s">
        <v>35</v>
      </c>
      <c r="B50" s="22" t="s">
        <v>81</v>
      </c>
      <c r="C50" s="154"/>
      <c r="D50" s="154"/>
    </row>
    <row r="51" spans="1:4" ht="17.25" customHeight="1">
      <c r="A51" s="9" t="s">
        <v>36</v>
      </c>
      <c r="B51" s="22" t="s">
        <v>81</v>
      </c>
      <c r="C51" s="154"/>
      <c r="D51" s="154"/>
    </row>
    <row r="52" spans="1:4" ht="24.75" customHeight="1">
      <c r="A52" s="9" t="s">
        <v>37</v>
      </c>
      <c r="B52" s="22" t="s">
        <v>82</v>
      </c>
      <c r="C52" s="154"/>
      <c r="D52" s="154"/>
    </row>
    <row r="53" spans="1:4" ht="30" customHeight="1">
      <c r="A53" s="9" t="s">
        <v>38</v>
      </c>
      <c r="B53" s="22" t="s">
        <v>82</v>
      </c>
      <c r="C53" s="154"/>
      <c r="D53" s="154"/>
    </row>
    <row r="54" spans="1:4" ht="12.75" customHeight="1">
      <c r="A54" s="51" t="s">
        <v>95</v>
      </c>
      <c r="B54" s="6"/>
      <c r="C54" s="154"/>
      <c r="D54" s="154"/>
    </row>
    <row r="55" spans="1:4" ht="35.25" customHeight="1">
      <c r="A55" s="9" t="s">
        <v>40</v>
      </c>
      <c r="B55" s="22" t="s">
        <v>79</v>
      </c>
      <c r="C55" s="154"/>
      <c r="D55" s="154"/>
    </row>
    <row r="56" spans="1:4" ht="14.25" customHeight="1">
      <c r="A56" s="9" t="s">
        <v>41</v>
      </c>
      <c r="B56" s="22" t="s">
        <v>24</v>
      </c>
      <c r="C56" s="154"/>
      <c r="D56" s="154"/>
    </row>
    <row r="57" spans="1:4" ht="14.25" customHeight="1">
      <c r="A57" s="9" t="s">
        <v>42</v>
      </c>
      <c r="B57" s="23" t="s">
        <v>24</v>
      </c>
      <c r="C57" s="154"/>
      <c r="D57" s="154"/>
    </row>
    <row r="58" spans="1:4" ht="13.5" customHeight="1">
      <c r="A58" s="9" t="s">
        <v>43</v>
      </c>
      <c r="B58" s="23" t="s">
        <v>24</v>
      </c>
      <c r="C58" s="154"/>
      <c r="D58" s="154"/>
    </row>
    <row r="59" spans="1:4" ht="13.5" customHeight="1">
      <c r="A59" s="9" t="s">
        <v>44</v>
      </c>
      <c r="B59" s="21" t="s">
        <v>126</v>
      </c>
      <c r="C59" s="154"/>
      <c r="D59" s="154"/>
    </row>
    <row r="60" spans="1:4" ht="36.75" customHeight="1">
      <c r="A60" s="10" t="s">
        <v>45</v>
      </c>
      <c r="B60" s="22" t="s">
        <v>22</v>
      </c>
      <c r="C60" s="154"/>
      <c r="D60" s="154"/>
    </row>
    <row r="61" spans="1:4">
      <c r="A61" s="167" t="s">
        <v>46</v>
      </c>
      <c r="B61" s="167"/>
      <c r="C61" s="167"/>
      <c r="D61" s="167"/>
    </row>
    <row r="62" spans="1:4" ht="15.75" customHeight="1">
      <c r="A62" s="9" t="s">
        <v>47</v>
      </c>
      <c r="B62" s="22" t="s">
        <v>83</v>
      </c>
      <c r="C62" s="152">
        <v>1.1499999999999999</v>
      </c>
      <c r="D62" s="154">
        <f>C62*B8*12+0.98</f>
        <v>23593.459999999995</v>
      </c>
    </row>
    <row r="63" spans="1:4" ht="12.75" customHeight="1">
      <c r="A63" s="9" t="s">
        <v>48</v>
      </c>
      <c r="B63" s="22" t="s">
        <v>83</v>
      </c>
      <c r="C63" s="152"/>
      <c r="D63" s="154"/>
    </row>
    <row r="64" spans="1:4" ht="22.5" customHeight="1">
      <c r="A64" s="9" t="s">
        <v>49</v>
      </c>
      <c r="B64" s="22" t="s">
        <v>83</v>
      </c>
      <c r="C64" s="152"/>
      <c r="D64" s="154"/>
    </row>
    <row r="65" spans="1:4" ht="16.5" customHeight="1">
      <c r="A65" s="9" t="s">
        <v>50</v>
      </c>
      <c r="B65" s="22" t="s">
        <v>83</v>
      </c>
      <c r="C65" s="152"/>
      <c r="D65" s="154"/>
    </row>
    <row r="66" spans="1:4" ht="39.75" customHeight="1">
      <c r="A66" s="10" t="s">
        <v>51</v>
      </c>
      <c r="B66" s="22" t="s">
        <v>22</v>
      </c>
      <c r="C66" s="152"/>
      <c r="D66" s="154"/>
    </row>
    <row r="67" spans="1:4" ht="16.5" customHeight="1">
      <c r="A67" s="10" t="s">
        <v>52</v>
      </c>
      <c r="B67" s="23" t="s">
        <v>84</v>
      </c>
      <c r="C67" s="152"/>
      <c r="D67" s="154"/>
    </row>
    <row r="68" spans="1:4">
      <c r="A68" s="157" t="s">
        <v>85</v>
      </c>
      <c r="B68" s="158"/>
      <c r="C68" s="158"/>
      <c r="D68" s="159"/>
    </row>
    <row r="69" spans="1:4" ht="26.25" customHeight="1">
      <c r="A69" s="175" t="s">
        <v>96</v>
      </c>
      <c r="B69" s="177" t="s">
        <v>86</v>
      </c>
      <c r="C69" s="152">
        <v>2.41</v>
      </c>
      <c r="D69" s="154">
        <f>C69*B8*12</f>
        <v>49441.632000000005</v>
      </c>
    </row>
    <row r="70" spans="1:4" ht="13.5" customHeight="1">
      <c r="A70" s="176"/>
      <c r="B70" s="177"/>
      <c r="C70" s="152"/>
      <c r="D70" s="154"/>
    </row>
    <row r="71" spans="1:4" ht="15" customHeight="1">
      <c r="A71" s="157" t="s">
        <v>55</v>
      </c>
      <c r="B71" s="158"/>
      <c r="C71" s="158"/>
      <c r="D71" s="159"/>
    </row>
    <row r="72" spans="1:4" ht="16.5" customHeight="1">
      <c r="A72" s="6" t="s">
        <v>90</v>
      </c>
      <c r="B72" s="21" t="s">
        <v>87</v>
      </c>
      <c r="C72" s="170">
        <v>2.14</v>
      </c>
      <c r="D72" s="172">
        <f>3658.53+40243.83</f>
        <v>43902.36</v>
      </c>
    </row>
    <row r="73" spans="1:4">
      <c r="A73" s="6" t="s">
        <v>91</v>
      </c>
      <c r="B73" s="21" t="s">
        <v>87</v>
      </c>
      <c r="C73" s="171"/>
      <c r="D73" s="173"/>
    </row>
    <row r="74" spans="1:4" ht="15" customHeight="1">
      <c r="A74" s="6" t="s">
        <v>92</v>
      </c>
      <c r="B74" s="21" t="s">
        <v>87</v>
      </c>
      <c r="C74" s="169"/>
      <c r="D74" s="174"/>
    </row>
    <row r="75" spans="1:4" ht="38.25" customHeight="1">
      <c r="A75" s="6" t="s">
        <v>143</v>
      </c>
      <c r="B75" s="22" t="s">
        <v>22</v>
      </c>
      <c r="C75" s="50">
        <v>4.3499999999999996</v>
      </c>
      <c r="D75" s="50">
        <f>C75*12*B8</f>
        <v>89241.119999999981</v>
      </c>
    </row>
    <row r="76" spans="1:4">
      <c r="A76" s="51" t="s">
        <v>56</v>
      </c>
      <c r="B76" s="23"/>
      <c r="C76" s="28">
        <f>C75+C72+C69+C62+C49+C45+C38+C31+C27+C20+C17+C16+C13</f>
        <v>21.619999999999997</v>
      </c>
      <c r="D76" s="28">
        <f>D75+D72+D69+D62+D49+D45+D38+D31+D27+D20+D17+D16+D13</f>
        <v>443539.43599999999</v>
      </c>
    </row>
    <row r="78" spans="1:4">
      <c r="D78" s="40"/>
    </row>
    <row r="79" spans="1:4">
      <c r="D79" s="40"/>
    </row>
    <row r="80" spans="1:4">
      <c r="D80" s="40"/>
    </row>
    <row r="81" spans="4:4">
      <c r="D81" s="40"/>
    </row>
  </sheetData>
  <mergeCells count="34">
    <mergeCell ref="C49:C60"/>
    <mergeCell ref="D49:D60"/>
    <mergeCell ref="A71:D71"/>
    <mergeCell ref="C72:C74"/>
    <mergeCell ref="D72:D74"/>
    <mergeCell ref="A61:D61"/>
    <mergeCell ref="C62:C67"/>
    <mergeCell ref="D62:D67"/>
    <mergeCell ref="A68:D68"/>
    <mergeCell ref="A69:A70"/>
    <mergeCell ref="B69:B70"/>
    <mergeCell ref="C69:C70"/>
    <mergeCell ref="D69:D70"/>
    <mergeCell ref="A44:D44"/>
    <mergeCell ref="C45:C47"/>
    <mergeCell ref="D45:D47"/>
    <mergeCell ref="A48:D48"/>
    <mergeCell ref="D13:D14"/>
    <mergeCell ref="C38:C43"/>
    <mergeCell ref="D38:D43"/>
    <mergeCell ref="C27:C28"/>
    <mergeCell ref="D27:D28"/>
    <mergeCell ref="A29:D29"/>
    <mergeCell ref="A30:D30"/>
    <mergeCell ref="C31:C36"/>
    <mergeCell ref="D31:D36"/>
    <mergeCell ref="A37:D37"/>
    <mergeCell ref="A12:D12"/>
    <mergeCell ref="A18:D18"/>
    <mergeCell ref="C20:C25"/>
    <mergeCell ref="D20:D25"/>
    <mergeCell ref="A26:D26"/>
    <mergeCell ref="B13:B14"/>
    <mergeCell ref="C13:C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E82"/>
  <sheetViews>
    <sheetView workbookViewId="0">
      <selection activeCell="A79" sqref="A79"/>
    </sheetView>
  </sheetViews>
  <sheetFormatPr defaultRowHeight="15"/>
  <cols>
    <col min="1" max="1" width="90.7109375" customWidth="1"/>
    <col min="2" max="2" width="13" customWidth="1"/>
    <col min="3" max="3" width="10" customWidth="1"/>
    <col min="4" max="4" width="11.85546875" customWidth="1"/>
    <col min="5" max="5" width="9.140625" hidden="1" customWidth="1"/>
  </cols>
  <sheetData>
    <row r="1" spans="1:5">
      <c r="A1" s="1" t="s">
        <v>0</v>
      </c>
      <c r="B1" s="2"/>
      <c r="C1" s="2"/>
      <c r="D1" s="2" t="s">
        <v>64</v>
      </c>
    </row>
    <row r="2" spans="1:5">
      <c r="A2" s="1" t="s">
        <v>120</v>
      </c>
      <c r="B2" s="2"/>
      <c r="C2" s="2"/>
      <c r="D2" s="2"/>
    </row>
    <row r="3" spans="1:5">
      <c r="A3" s="1" t="s">
        <v>268</v>
      </c>
      <c r="B3" s="2"/>
      <c r="C3" s="2"/>
      <c r="D3" s="2"/>
    </row>
    <row r="4" spans="1:5">
      <c r="A4" s="25" t="s">
        <v>58</v>
      </c>
      <c r="B4" s="2">
        <v>1966</v>
      </c>
      <c r="C4" s="2"/>
      <c r="D4" s="2"/>
    </row>
    <row r="5" spans="1:5">
      <c r="A5" s="25" t="s">
        <v>59</v>
      </c>
      <c r="B5" s="2">
        <v>5</v>
      </c>
      <c r="C5" s="2"/>
      <c r="D5" s="2"/>
    </row>
    <row r="6" spans="1:5">
      <c r="A6" s="25" t="s">
        <v>60</v>
      </c>
      <c r="B6" s="2">
        <v>4</v>
      </c>
      <c r="C6" s="2"/>
      <c r="D6" s="2"/>
    </row>
    <row r="7" spans="1:5">
      <c r="A7" s="25" t="s">
        <v>61</v>
      </c>
      <c r="B7" s="2">
        <v>60</v>
      </c>
      <c r="C7" s="2"/>
      <c r="D7" s="2"/>
    </row>
    <row r="8" spans="1:5">
      <c r="A8" s="25" t="s">
        <v>72</v>
      </c>
      <c r="B8" s="2">
        <v>2307.9</v>
      </c>
      <c r="C8" s="2"/>
      <c r="D8" s="2"/>
      <c r="E8">
        <f>B8+B10</f>
        <v>2378.3000000000002</v>
      </c>
    </row>
    <row r="9" spans="1:5">
      <c r="A9" s="25" t="s">
        <v>62</v>
      </c>
      <c r="B9" s="2">
        <v>184</v>
      </c>
      <c r="C9" s="2"/>
      <c r="D9" s="2"/>
    </row>
    <row r="10" spans="1:5">
      <c r="A10" s="25" t="s">
        <v>392</v>
      </c>
      <c r="B10" s="2">
        <v>70.400000000000006</v>
      </c>
      <c r="C10" s="2"/>
      <c r="D10" s="2"/>
    </row>
    <row r="11" spans="1:5">
      <c r="A11" s="25" t="s">
        <v>73</v>
      </c>
      <c r="B11" s="2">
        <v>501.7</v>
      </c>
      <c r="C11" s="2"/>
      <c r="D11" s="2"/>
    </row>
    <row r="12" spans="1:5" ht="36.75">
      <c r="A12" s="52" t="s">
        <v>1</v>
      </c>
      <c r="B12" s="52" t="s">
        <v>2</v>
      </c>
      <c r="C12" s="52" t="s">
        <v>3</v>
      </c>
      <c r="D12" s="52" t="s">
        <v>4</v>
      </c>
    </row>
    <row r="13" spans="1:5">
      <c r="A13" s="178" t="s">
        <v>5</v>
      </c>
      <c r="B13" s="158"/>
      <c r="C13" s="158"/>
      <c r="D13" s="159"/>
    </row>
    <row r="14" spans="1:5" ht="88.5" customHeight="1">
      <c r="A14" s="104" t="s">
        <v>6</v>
      </c>
      <c r="B14" s="160" t="s">
        <v>8</v>
      </c>
      <c r="C14" s="153">
        <v>1.45</v>
      </c>
      <c r="D14" s="163">
        <f>C14*E8*12</f>
        <v>41382.420000000006</v>
      </c>
      <c r="E14" s="15"/>
    </row>
    <row r="15" spans="1:5" ht="75.75" customHeight="1">
      <c r="A15" s="103" t="s">
        <v>89</v>
      </c>
      <c r="B15" s="161"/>
      <c r="C15" s="162"/>
      <c r="D15" s="164"/>
      <c r="E15" s="116"/>
    </row>
    <row r="16" spans="1:5">
      <c r="A16" s="103" t="s">
        <v>9</v>
      </c>
      <c r="B16" s="52"/>
      <c r="C16" s="26"/>
      <c r="D16" s="30"/>
    </row>
    <row r="17" spans="1:4">
      <c r="A17" s="6" t="s">
        <v>284</v>
      </c>
      <c r="B17" s="52" t="s">
        <v>88</v>
      </c>
      <c r="C17" s="44">
        <v>3.3</v>
      </c>
      <c r="D17" s="30">
        <f>E8*C17*12</f>
        <v>94180.680000000008</v>
      </c>
    </row>
    <row r="18" spans="1:4">
      <c r="A18" s="165" t="s">
        <v>10</v>
      </c>
      <c r="B18" s="165"/>
      <c r="C18" s="165"/>
      <c r="D18" s="165"/>
    </row>
    <row r="19" spans="1:4" ht="13.5" customHeight="1">
      <c r="A19" s="39" t="s">
        <v>97</v>
      </c>
      <c r="B19" s="51"/>
      <c r="C19" s="51"/>
      <c r="D19" s="51"/>
    </row>
    <row r="20" spans="1:4" ht="13.5" customHeight="1">
      <c r="A20" s="6" t="s">
        <v>11</v>
      </c>
      <c r="B20" s="52" t="s">
        <v>75</v>
      </c>
      <c r="C20" s="152">
        <v>2.16</v>
      </c>
      <c r="D20" s="166">
        <f>C20*12*E8</f>
        <v>61645.536000000007</v>
      </c>
    </row>
    <row r="21" spans="1:4" ht="12.75" customHeight="1">
      <c r="A21" s="6" t="s">
        <v>12</v>
      </c>
      <c r="B21" s="52" t="s">
        <v>75</v>
      </c>
      <c r="C21" s="152"/>
      <c r="D21" s="155"/>
    </row>
    <row r="22" spans="1:4" ht="14.25" customHeight="1">
      <c r="A22" s="6" t="s">
        <v>13</v>
      </c>
      <c r="B22" s="52" t="s">
        <v>75</v>
      </c>
      <c r="C22" s="152"/>
      <c r="D22" s="155"/>
    </row>
    <row r="23" spans="1:4" ht="13.5" customHeight="1">
      <c r="A23" s="6" t="s">
        <v>14</v>
      </c>
      <c r="B23" s="52" t="s">
        <v>76</v>
      </c>
      <c r="C23" s="152"/>
      <c r="D23" s="155"/>
    </row>
    <row r="24" spans="1:4" ht="12.75" customHeight="1">
      <c r="A24" s="39" t="s">
        <v>93</v>
      </c>
      <c r="B24" s="52"/>
      <c r="C24" s="152"/>
      <c r="D24" s="155"/>
    </row>
    <row r="25" spans="1:4" ht="30" customHeight="1">
      <c r="A25" s="6" t="s">
        <v>15</v>
      </c>
      <c r="B25" s="52" t="s">
        <v>94</v>
      </c>
      <c r="C25" s="152"/>
      <c r="D25" s="156"/>
    </row>
    <row r="26" spans="1:4" ht="12.75" customHeight="1">
      <c r="A26" s="157" t="s">
        <v>16</v>
      </c>
      <c r="B26" s="158"/>
      <c r="C26" s="158"/>
      <c r="D26" s="159"/>
    </row>
    <row r="27" spans="1:4" ht="12" customHeight="1">
      <c r="A27" s="7" t="s">
        <v>17</v>
      </c>
      <c r="B27" s="21" t="s">
        <v>78</v>
      </c>
      <c r="C27" s="152">
        <v>0.2</v>
      </c>
      <c r="D27" s="167">
        <f>C27*E8*12</f>
        <v>5707.920000000001</v>
      </c>
    </row>
    <row r="28" spans="1:4" ht="12" customHeight="1">
      <c r="A28" s="7" t="s">
        <v>18</v>
      </c>
      <c r="B28" s="21" t="s">
        <v>77</v>
      </c>
      <c r="C28" s="152"/>
      <c r="D28" s="167"/>
    </row>
    <row r="29" spans="1:4" ht="13.5" customHeight="1">
      <c r="A29" s="157" t="s">
        <v>19</v>
      </c>
      <c r="B29" s="158"/>
      <c r="C29" s="158"/>
      <c r="D29" s="159"/>
    </row>
    <row r="30" spans="1:4">
      <c r="A30" s="167" t="s">
        <v>20</v>
      </c>
      <c r="B30" s="167"/>
      <c r="C30" s="167"/>
      <c r="D30" s="167"/>
    </row>
    <row r="31" spans="1:4" ht="37.5" customHeight="1">
      <c r="A31" s="8" t="s">
        <v>21</v>
      </c>
      <c r="B31" s="22" t="s">
        <v>79</v>
      </c>
      <c r="C31" s="152">
        <v>0.79</v>
      </c>
      <c r="D31" s="154">
        <f>C31*E8*12</f>
        <v>22546.284000000003</v>
      </c>
    </row>
    <row r="32" spans="1:4" ht="15" customHeight="1">
      <c r="A32" s="9" t="s">
        <v>23</v>
      </c>
      <c r="B32" s="23" t="s">
        <v>80</v>
      </c>
      <c r="C32" s="152"/>
      <c r="D32" s="155"/>
    </row>
    <row r="33" spans="1:4" ht="13.5" customHeight="1">
      <c r="A33" s="9" t="s">
        <v>25</v>
      </c>
      <c r="B33" s="23" t="s">
        <v>80</v>
      </c>
      <c r="C33" s="152"/>
      <c r="D33" s="155"/>
    </row>
    <row r="34" spans="1:4" ht="36" customHeight="1">
      <c r="A34" s="9" t="s">
        <v>26</v>
      </c>
      <c r="B34" s="22" t="s">
        <v>22</v>
      </c>
      <c r="C34" s="152"/>
      <c r="D34" s="155"/>
    </row>
    <row r="35" spans="1:4" ht="14.25" customHeight="1">
      <c r="A35" s="9" t="s">
        <v>27</v>
      </c>
      <c r="B35" s="22" t="s">
        <v>80</v>
      </c>
      <c r="C35" s="152"/>
      <c r="D35" s="155"/>
    </row>
    <row r="36" spans="1:4" ht="33.75" customHeight="1">
      <c r="A36" s="24" t="s">
        <v>28</v>
      </c>
      <c r="B36" s="22" t="s">
        <v>22</v>
      </c>
      <c r="C36" s="153"/>
      <c r="D36" s="156"/>
    </row>
    <row r="37" spans="1:4" ht="15.75" customHeight="1">
      <c r="A37" s="167" t="s">
        <v>65</v>
      </c>
      <c r="B37" s="167"/>
      <c r="C37" s="167"/>
      <c r="D37" s="167"/>
    </row>
    <row r="38" spans="1:4" ht="36.75" customHeight="1">
      <c r="A38" s="9" t="s">
        <v>66</v>
      </c>
      <c r="B38" s="22" t="s">
        <v>79</v>
      </c>
      <c r="C38" s="154">
        <v>1.29</v>
      </c>
      <c r="D38" s="152">
        <f>C38*E8*12</f>
        <v>36816.084000000003</v>
      </c>
    </row>
    <row r="39" spans="1:4" ht="14.25" customHeight="1">
      <c r="A39" s="9" t="s">
        <v>67</v>
      </c>
      <c r="B39" s="22" t="s">
        <v>80</v>
      </c>
      <c r="C39" s="154"/>
      <c r="D39" s="168"/>
    </row>
    <row r="40" spans="1:4" ht="14.25" customHeight="1">
      <c r="A40" s="9" t="s">
        <v>68</v>
      </c>
      <c r="B40" s="22" t="s">
        <v>80</v>
      </c>
      <c r="C40" s="154"/>
      <c r="D40" s="168"/>
    </row>
    <row r="41" spans="1:4" ht="24" customHeight="1">
      <c r="A41" s="9" t="s">
        <v>69</v>
      </c>
      <c r="B41" s="22" t="s">
        <v>79</v>
      </c>
      <c r="C41" s="154"/>
      <c r="D41" s="168"/>
    </row>
    <row r="42" spans="1:4" ht="25.5" customHeight="1">
      <c r="A42" s="10" t="s">
        <v>70</v>
      </c>
      <c r="B42" s="22" t="s">
        <v>79</v>
      </c>
      <c r="C42" s="154"/>
      <c r="D42" s="168"/>
    </row>
    <row r="43" spans="1:4" ht="14.25" customHeight="1">
      <c r="A43" s="9" t="s">
        <v>71</v>
      </c>
      <c r="B43" s="22" t="s">
        <v>122</v>
      </c>
      <c r="C43" s="154"/>
      <c r="D43" s="162"/>
    </row>
    <row r="44" spans="1:4" ht="11.25" customHeight="1">
      <c r="A44" s="169" t="s">
        <v>29</v>
      </c>
      <c r="B44" s="169"/>
      <c r="C44" s="169"/>
      <c r="D44" s="169"/>
    </row>
    <row r="45" spans="1:4" ht="35.25" customHeight="1">
      <c r="A45" s="9" t="s">
        <v>30</v>
      </c>
      <c r="B45" s="22" t="s">
        <v>22</v>
      </c>
      <c r="C45" s="154">
        <v>0.91</v>
      </c>
      <c r="D45" s="152">
        <f>C45*E8*12</f>
        <v>25971.036</v>
      </c>
    </row>
    <row r="46" spans="1:4" ht="38.25" customHeight="1">
      <c r="A46" s="9" t="s">
        <v>31</v>
      </c>
      <c r="B46" s="22" t="s">
        <v>22</v>
      </c>
      <c r="C46" s="154"/>
      <c r="D46" s="152"/>
    </row>
    <row r="47" spans="1:4" ht="15" customHeight="1">
      <c r="A47" s="10" t="s">
        <v>32</v>
      </c>
      <c r="B47" s="22" t="s">
        <v>22</v>
      </c>
      <c r="C47" s="154"/>
      <c r="D47" s="152"/>
    </row>
    <row r="48" spans="1:4" ht="12.75" customHeight="1">
      <c r="A48" s="167" t="s">
        <v>33</v>
      </c>
      <c r="B48" s="167"/>
      <c r="C48" s="167"/>
      <c r="D48" s="167"/>
    </row>
    <row r="49" spans="1:4" ht="29.25" customHeight="1">
      <c r="A49" s="9" t="s">
        <v>34</v>
      </c>
      <c r="B49" s="22" t="s">
        <v>77</v>
      </c>
      <c r="C49" s="154">
        <v>1.35</v>
      </c>
      <c r="D49" s="154">
        <f>C49*E8*12</f>
        <v>38528.460000000006</v>
      </c>
    </row>
    <row r="50" spans="1:4" ht="14.25" customHeight="1">
      <c r="A50" s="9" t="s">
        <v>35</v>
      </c>
      <c r="B50" s="22" t="s">
        <v>84</v>
      </c>
      <c r="C50" s="154"/>
      <c r="D50" s="154"/>
    </row>
    <row r="51" spans="1:4" ht="17.25" customHeight="1">
      <c r="A51" s="9" t="s">
        <v>36</v>
      </c>
      <c r="B51" s="22" t="s">
        <v>84</v>
      </c>
      <c r="C51" s="154"/>
      <c r="D51" s="154"/>
    </row>
    <row r="52" spans="1:4" ht="24.75" customHeight="1">
      <c r="A52" s="9" t="s">
        <v>37</v>
      </c>
      <c r="B52" s="22" t="s">
        <v>82</v>
      </c>
      <c r="C52" s="154"/>
      <c r="D52" s="154"/>
    </row>
    <row r="53" spans="1:4" ht="30" customHeight="1">
      <c r="A53" s="9" t="s">
        <v>38</v>
      </c>
      <c r="B53" s="22" t="s">
        <v>82</v>
      </c>
      <c r="C53" s="154"/>
      <c r="D53" s="154"/>
    </row>
    <row r="54" spans="1:4" ht="12.75" customHeight="1">
      <c r="A54" s="51" t="s">
        <v>95</v>
      </c>
      <c r="B54" s="6"/>
      <c r="C54" s="154"/>
      <c r="D54" s="154"/>
    </row>
    <row r="55" spans="1:4" ht="35.25" customHeight="1">
      <c r="A55" s="9" t="s">
        <v>40</v>
      </c>
      <c r="B55" s="22" t="s">
        <v>79</v>
      </c>
      <c r="C55" s="154"/>
      <c r="D55" s="154"/>
    </row>
    <row r="56" spans="1:4" ht="14.25" customHeight="1">
      <c r="A56" s="9" t="s">
        <v>41</v>
      </c>
      <c r="B56" s="22" t="s">
        <v>24</v>
      </c>
      <c r="C56" s="154"/>
      <c r="D56" s="154"/>
    </row>
    <row r="57" spans="1:4" ht="14.25" customHeight="1">
      <c r="A57" s="9" t="s">
        <v>42</v>
      </c>
      <c r="B57" s="23" t="s">
        <v>24</v>
      </c>
      <c r="C57" s="154"/>
      <c r="D57" s="154"/>
    </row>
    <row r="58" spans="1:4" ht="13.5" customHeight="1">
      <c r="A58" s="9" t="s">
        <v>43</v>
      </c>
      <c r="B58" s="23" t="s">
        <v>24</v>
      </c>
      <c r="C58" s="154"/>
      <c r="D58" s="154"/>
    </row>
    <row r="59" spans="1:4" ht="13.5" customHeight="1">
      <c r="A59" s="9" t="s">
        <v>44</v>
      </c>
      <c r="B59" s="21" t="s">
        <v>123</v>
      </c>
      <c r="C59" s="154"/>
      <c r="D59" s="154"/>
    </row>
    <row r="60" spans="1:4" ht="36.75" customHeight="1">
      <c r="A60" s="10" t="s">
        <v>45</v>
      </c>
      <c r="B60" s="22" t="s">
        <v>22</v>
      </c>
      <c r="C60" s="154"/>
      <c r="D60" s="154"/>
    </row>
    <row r="61" spans="1:4">
      <c r="A61" s="167" t="s">
        <v>46</v>
      </c>
      <c r="B61" s="167"/>
      <c r="C61" s="167"/>
      <c r="D61" s="167"/>
    </row>
    <row r="62" spans="1:4" ht="15.75" customHeight="1">
      <c r="A62" s="9" t="s">
        <v>47</v>
      </c>
      <c r="B62" s="22" t="s">
        <v>83</v>
      </c>
      <c r="C62" s="152">
        <v>1.27</v>
      </c>
      <c r="D62" s="154">
        <f>C62*E8*12+0.36-682.22</f>
        <v>35563.432000000001</v>
      </c>
    </row>
    <row r="63" spans="1:4" ht="12.75" customHeight="1">
      <c r="A63" s="9" t="s">
        <v>48</v>
      </c>
      <c r="B63" s="22" t="s">
        <v>83</v>
      </c>
      <c r="C63" s="152"/>
      <c r="D63" s="154"/>
    </row>
    <row r="64" spans="1:4" ht="15.75" customHeight="1">
      <c r="A64" s="9" t="s">
        <v>49</v>
      </c>
      <c r="B64" s="22" t="s">
        <v>84</v>
      </c>
      <c r="C64" s="152"/>
      <c r="D64" s="154"/>
    </row>
    <row r="65" spans="1:4" ht="16.5" customHeight="1">
      <c r="A65" s="9" t="s">
        <v>50</v>
      </c>
      <c r="B65" s="22" t="s">
        <v>83</v>
      </c>
      <c r="C65" s="152"/>
      <c r="D65" s="154"/>
    </row>
    <row r="66" spans="1:4" ht="39.75" customHeight="1">
      <c r="A66" s="10" t="s">
        <v>51</v>
      </c>
      <c r="B66" s="22" t="s">
        <v>22</v>
      </c>
      <c r="C66" s="152"/>
      <c r="D66" s="154"/>
    </row>
    <row r="67" spans="1:4" ht="16.5" customHeight="1">
      <c r="A67" s="10" t="s">
        <v>52</v>
      </c>
      <c r="B67" s="23" t="s">
        <v>84</v>
      </c>
      <c r="C67" s="152"/>
      <c r="D67" s="154"/>
    </row>
    <row r="68" spans="1:4">
      <c r="A68" s="157" t="s">
        <v>85</v>
      </c>
      <c r="B68" s="158"/>
      <c r="C68" s="158"/>
      <c r="D68" s="159"/>
    </row>
    <row r="69" spans="1:4" ht="26.25" customHeight="1">
      <c r="A69" s="175" t="s">
        <v>96</v>
      </c>
      <c r="B69" s="177" t="s">
        <v>86</v>
      </c>
      <c r="C69" s="152">
        <v>2.41</v>
      </c>
      <c r="D69" s="154">
        <f>C69*E8*12</f>
        <v>68780.436000000002</v>
      </c>
    </row>
    <row r="70" spans="1:4" ht="13.5" customHeight="1">
      <c r="A70" s="176"/>
      <c r="B70" s="177"/>
      <c r="C70" s="152"/>
      <c r="D70" s="154"/>
    </row>
    <row r="71" spans="1:4" ht="15" customHeight="1">
      <c r="A71" s="157" t="s">
        <v>55</v>
      </c>
      <c r="B71" s="158"/>
      <c r="C71" s="158"/>
      <c r="D71" s="159"/>
    </row>
    <row r="72" spans="1:4" ht="16.5" customHeight="1">
      <c r="A72" s="6" t="s">
        <v>90</v>
      </c>
      <c r="B72" s="21" t="s">
        <v>87</v>
      </c>
      <c r="C72" s="170">
        <v>2.14</v>
      </c>
      <c r="D72" s="172">
        <f>C72*12*E8</f>
        <v>61074.744000000006</v>
      </c>
    </row>
    <row r="73" spans="1:4">
      <c r="A73" s="6" t="s">
        <v>91</v>
      </c>
      <c r="B73" s="21" t="s">
        <v>87</v>
      </c>
      <c r="C73" s="171"/>
      <c r="D73" s="173"/>
    </row>
    <row r="74" spans="1:4" ht="15" customHeight="1">
      <c r="A74" s="6" t="s">
        <v>92</v>
      </c>
      <c r="B74" s="21" t="s">
        <v>87</v>
      </c>
      <c r="C74" s="169"/>
      <c r="D74" s="174"/>
    </row>
    <row r="75" spans="1:4" ht="38.25" customHeight="1">
      <c r="A75" s="6" t="s">
        <v>143</v>
      </c>
      <c r="B75" s="22" t="s">
        <v>22</v>
      </c>
      <c r="C75" s="50">
        <v>4.3499999999999996</v>
      </c>
      <c r="D75" s="149">
        <f>C75*12*E8</f>
        <v>124147.26</v>
      </c>
    </row>
    <row r="76" spans="1:4">
      <c r="A76" s="51" t="s">
        <v>56</v>
      </c>
      <c r="B76" s="23"/>
      <c r="C76" s="28">
        <f>C75+C72+C69+C62+C49+C45+C38+C31+C27+C20+C17+C14</f>
        <v>21.619999999999997</v>
      </c>
      <c r="D76" s="28">
        <f>D75+D72+D69+D62+D49+D45+D38+D31+D27+D20+D17+D14</f>
        <v>616344.29200000013</v>
      </c>
    </row>
    <row r="78" spans="1:4">
      <c r="C78" s="40"/>
    </row>
    <row r="79" spans="1:4">
      <c r="D79" s="40"/>
    </row>
    <row r="80" spans="1:4">
      <c r="D80" s="40"/>
    </row>
    <row r="81" spans="4:4">
      <c r="D81" s="40"/>
    </row>
    <row r="82" spans="4:4">
      <c r="D82" s="40"/>
    </row>
  </sheetData>
  <mergeCells count="34">
    <mergeCell ref="A48:D48"/>
    <mergeCell ref="A71:D71"/>
    <mergeCell ref="C72:C74"/>
    <mergeCell ref="D72:D74"/>
    <mergeCell ref="A61:D61"/>
    <mergeCell ref="C62:C67"/>
    <mergeCell ref="D62:D67"/>
    <mergeCell ref="A68:D68"/>
    <mergeCell ref="A69:A70"/>
    <mergeCell ref="B69:B70"/>
    <mergeCell ref="C69:C70"/>
    <mergeCell ref="D69:D70"/>
    <mergeCell ref="C49:C60"/>
    <mergeCell ref="D49:D60"/>
    <mergeCell ref="A37:D37"/>
    <mergeCell ref="A13:D13"/>
    <mergeCell ref="A18:D18"/>
    <mergeCell ref="C20:C25"/>
    <mergeCell ref="D20:D25"/>
    <mergeCell ref="A26:D26"/>
    <mergeCell ref="D14:D15"/>
    <mergeCell ref="B14:B15"/>
    <mergeCell ref="C14:C15"/>
    <mergeCell ref="C27:C28"/>
    <mergeCell ref="D27:D28"/>
    <mergeCell ref="A29:D29"/>
    <mergeCell ref="A30:D30"/>
    <mergeCell ref="C31:C36"/>
    <mergeCell ref="D31:D36"/>
    <mergeCell ref="A44:D44"/>
    <mergeCell ref="C45:C47"/>
    <mergeCell ref="D45:D47"/>
    <mergeCell ref="C38:C43"/>
    <mergeCell ref="D38:D4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G81"/>
  <sheetViews>
    <sheetView topLeftCell="A73" zoomScaleNormal="100" workbookViewId="0">
      <selection activeCell="D74" sqref="D74"/>
    </sheetView>
  </sheetViews>
  <sheetFormatPr defaultRowHeight="15"/>
  <cols>
    <col min="1" max="1" width="87.42578125" customWidth="1"/>
    <col min="2" max="2" width="12.5703125" customWidth="1"/>
    <col min="3" max="3" width="11.28515625" customWidth="1"/>
    <col min="4" max="4" width="11.7109375" customWidth="1"/>
  </cols>
  <sheetData>
    <row r="1" spans="1:7">
      <c r="A1" s="1" t="s">
        <v>0</v>
      </c>
      <c r="B1" s="2"/>
      <c r="C1" s="2"/>
      <c r="D1" s="2" t="s">
        <v>63</v>
      </c>
      <c r="E1" s="2"/>
      <c r="F1" s="2"/>
      <c r="G1" s="2"/>
    </row>
    <row r="2" spans="1:7">
      <c r="A2" s="1" t="s">
        <v>119</v>
      </c>
      <c r="B2" s="2"/>
      <c r="C2" s="2"/>
      <c r="D2" s="2"/>
      <c r="E2" s="2"/>
      <c r="F2" s="2"/>
      <c r="G2" s="2"/>
    </row>
    <row r="3" spans="1:7">
      <c r="A3" s="1" t="s">
        <v>268</v>
      </c>
      <c r="B3" s="2"/>
      <c r="C3" s="2"/>
      <c r="D3" s="2"/>
      <c r="E3" s="2"/>
      <c r="F3" s="2"/>
      <c r="G3" s="2"/>
    </row>
    <row r="4" spans="1:7">
      <c r="A4" s="3"/>
      <c r="B4" s="2"/>
      <c r="C4" s="2"/>
      <c r="D4" s="2"/>
      <c r="E4" s="2"/>
      <c r="F4" s="2"/>
      <c r="G4" s="2"/>
    </row>
    <row r="5" spans="1:7">
      <c r="A5" s="25" t="s">
        <v>58</v>
      </c>
      <c r="B5" s="2">
        <v>1962</v>
      </c>
      <c r="C5" s="2"/>
      <c r="D5" s="2"/>
      <c r="E5" s="2"/>
      <c r="F5" s="2"/>
      <c r="G5" s="2"/>
    </row>
    <row r="6" spans="1:7">
      <c r="A6" s="25" t="s">
        <v>59</v>
      </c>
      <c r="B6" s="2">
        <v>4</v>
      </c>
      <c r="C6" s="2"/>
      <c r="D6" s="2"/>
      <c r="E6" s="2"/>
      <c r="F6" s="2"/>
      <c r="G6" s="2"/>
    </row>
    <row r="7" spans="1:7">
      <c r="A7" s="25" t="s">
        <v>60</v>
      </c>
      <c r="B7" s="2">
        <v>2</v>
      </c>
      <c r="C7" s="2"/>
      <c r="D7" s="2"/>
      <c r="E7" s="2"/>
      <c r="F7" s="2"/>
      <c r="G7" s="2"/>
    </row>
    <row r="8" spans="1:7">
      <c r="A8" s="25" t="s">
        <v>61</v>
      </c>
      <c r="B8" s="2">
        <v>32</v>
      </c>
      <c r="C8" s="2"/>
      <c r="D8" s="2"/>
      <c r="E8" s="2"/>
      <c r="F8" s="2"/>
      <c r="G8" s="2"/>
    </row>
    <row r="9" spans="1:7">
      <c r="A9" s="25" t="s">
        <v>72</v>
      </c>
      <c r="B9" s="2">
        <v>1246.5</v>
      </c>
      <c r="C9" s="2"/>
      <c r="D9" s="2"/>
      <c r="E9" s="2"/>
      <c r="F9" s="2"/>
      <c r="G9" s="2"/>
    </row>
    <row r="10" spans="1:7">
      <c r="A10" s="25" t="s">
        <v>62</v>
      </c>
      <c r="B10" s="2">
        <v>94.7</v>
      </c>
      <c r="C10" s="2"/>
      <c r="D10" s="2"/>
      <c r="E10" s="2"/>
      <c r="F10" s="2"/>
      <c r="G10" s="2"/>
    </row>
    <row r="11" spans="1:7">
      <c r="A11" s="25" t="s">
        <v>73</v>
      </c>
      <c r="B11" s="46" t="s">
        <v>100</v>
      </c>
      <c r="C11" s="2"/>
      <c r="D11" s="2"/>
      <c r="E11" s="2"/>
      <c r="F11" s="2"/>
      <c r="G11" s="2"/>
    </row>
    <row r="12" spans="1:7" ht="45.75" customHeight="1">
      <c r="A12" s="52" t="s">
        <v>1</v>
      </c>
      <c r="B12" s="52" t="s">
        <v>2</v>
      </c>
      <c r="C12" s="52" t="s">
        <v>3</v>
      </c>
      <c r="D12" s="52" t="s">
        <v>4</v>
      </c>
      <c r="E12" s="186"/>
      <c r="F12" s="186"/>
      <c r="G12" s="186"/>
    </row>
    <row r="13" spans="1:7">
      <c r="A13" s="188" t="s">
        <v>5</v>
      </c>
      <c r="B13" s="189"/>
      <c r="C13" s="189"/>
      <c r="D13" s="190"/>
      <c r="E13" s="186"/>
      <c r="F13" s="186"/>
      <c r="G13" s="186"/>
    </row>
    <row r="14" spans="1:7" ht="87" customHeight="1">
      <c r="A14" s="104" t="s">
        <v>6</v>
      </c>
      <c r="B14" s="160" t="s">
        <v>8</v>
      </c>
      <c r="C14" s="153">
        <v>2.68</v>
      </c>
      <c r="D14" s="163">
        <f>C14*12*$B$9</f>
        <v>40087.440000000002</v>
      </c>
      <c r="E14" s="186"/>
      <c r="F14" s="186"/>
      <c r="G14" s="186"/>
    </row>
    <row r="15" spans="1:7" ht="73.5" customHeight="1">
      <c r="A15" s="103" t="s">
        <v>89</v>
      </c>
      <c r="B15" s="161"/>
      <c r="C15" s="162"/>
      <c r="D15" s="164"/>
      <c r="E15" s="186"/>
      <c r="F15" s="187"/>
      <c r="G15" s="187"/>
    </row>
    <row r="16" spans="1:7">
      <c r="A16" s="6" t="s">
        <v>9</v>
      </c>
      <c r="B16" s="52"/>
      <c r="C16" s="26"/>
      <c r="D16" s="26"/>
      <c r="E16" s="186"/>
      <c r="F16" s="187"/>
      <c r="G16" s="187"/>
    </row>
    <row r="17" spans="1:7">
      <c r="A17" s="6" t="s">
        <v>330</v>
      </c>
      <c r="B17" s="52" t="s">
        <v>117</v>
      </c>
      <c r="C17" s="44">
        <v>1.03</v>
      </c>
      <c r="D17" s="30">
        <f>C17*12*$B$9</f>
        <v>15406.74</v>
      </c>
    </row>
    <row r="18" spans="1:7">
      <c r="A18" s="6" t="s">
        <v>331</v>
      </c>
      <c r="B18" s="129" t="s">
        <v>117</v>
      </c>
      <c r="C18" s="44">
        <v>1.03</v>
      </c>
      <c r="D18" s="30">
        <f>C18*12*$B$9</f>
        <v>15406.74</v>
      </c>
    </row>
    <row r="19" spans="1:7" ht="12" customHeight="1">
      <c r="A19" s="191" t="s">
        <v>10</v>
      </c>
      <c r="B19" s="192"/>
      <c r="C19" s="192"/>
      <c r="D19" s="193"/>
      <c r="E19" s="194"/>
      <c r="F19" s="186"/>
      <c r="G19" s="186"/>
    </row>
    <row r="20" spans="1:7" ht="11.25" customHeight="1">
      <c r="A20" s="6" t="s">
        <v>11</v>
      </c>
      <c r="B20" s="52" t="s">
        <v>75</v>
      </c>
      <c r="C20" s="153">
        <v>2.16</v>
      </c>
      <c r="D20" s="166">
        <f>C20*B9*12</f>
        <v>32309.279999999999</v>
      </c>
      <c r="E20" s="194"/>
      <c r="F20" s="186"/>
      <c r="G20" s="186"/>
    </row>
    <row r="21" spans="1:7" ht="13.5" customHeight="1">
      <c r="A21" s="6" t="s">
        <v>12</v>
      </c>
      <c r="B21" s="52" t="s">
        <v>75</v>
      </c>
      <c r="C21" s="168"/>
      <c r="D21" s="155"/>
      <c r="E21" s="194"/>
      <c r="F21" s="186"/>
      <c r="G21" s="186"/>
    </row>
    <row r="22" spans="1:7" ht="12.75" customHeight="1">
      <c r="A22" s="6" t="s">
        <v>13</v>
      </c>
      <c r="B22" s="52" t="s">
        <v>75</v>
      </c>
      <c r="C22" s="168"/>
      <c r="D22" s="155"/>
      <c r="E22" s="194"/>
      <c r="F22" s="186"/>
      <c r="G22" s="186"/>
    </row>
    <row r="23" spans="1:7" ht="12" customHeight="1">
      <c r="A23" s="6" t="s">
        <v>14</v>
      </c>
      <c r="B23" s="52" t="s">
        <v>76</v>
      </c>
      <c r="C23" s="168"/>
      <c r="D23" s="155"/>
      <c r="E23" s="194"/>
      <c r="F23" s="186"/>
      <c r="G23" s="186"/>
    </row>
    <row r="24" spans="1:7" ht="24" customHeight="1">
      <c r="A24" s="6" t="s">
        <v>15</v>
      </c>
      <c r="B24" s="52" t="s">
        <v>94</v>
      </c>
      <c r="C24" s="162"/>
      <c r="D24" s="156"/>
      <c r="E24" s="194"/>
      <c r="F24" s="186"/>
      <c r="G24" s="186"/>
    </row>
    <row r="25" spans="1:7" ht="12" customHeight="1">
      <c r="A25" s="191" t="s">
        <v>16</v>
      </c>
      <c r="B25" s="192"/>
      <c r="C25" s="192"/>
      <c r="D25" s="193"/>
      <c r="E25" s="194"/>
      <c r="F25" s="186"/>
      <c r="G25" s="186"/>
    </row>
    <row r="26" spans="1:7" ht="12" customHeight="1">
      <c r="A26" s="7" t="s">
        <v>17</v>
      </c>
      <c r="B26" s="21" t="s">
        <v>78</v>
      </c>
      <c r="C26" s="152">
        <v>0.2</v>
      </c>
      <c r="D26" s="167">
        <f>C26*12*B9</f>
        <v>2991.6000000000004</v>
      </c>
      <c r="E26" s="15"/>
    </row>
    <row r="27" spans="1:7" ht="12" customHeight="1">
      <c r="A27" s="7" t="s">
        <v>18</v>
      </c>
      <c r="B27" s="21" t="s">
        <v>77</v>
      </c>
      <c r="C27" s="152"/>
      <c r="D27" s="167"/>
      <c r="E27" s="48"/>
    </row>
    <row r="28" spans="1:7" ht="12" customHeight="1">
      <c r="A28" s="165" t="s">
        <v>19</v>
      </c>
      <c r="B28" s="165"/>
      <c r="C28" s="165"/>
      <c r="D28" s="165"/>
      <c r="E28" s="186"/>
      <c r="F28" s="187"/>
      <c r="G28" s="187"/>
    </row>
    <row r="29" spans="1:7" ht="12" customHeight="1">
      <c r="A29" s="167" t="s">
        <v>20</v>
      </c>
      <c r="B29" s="167"/>
      <c r="C29" s="167"/>
      <c r="D29" s="167"/>
      <c r="E29" s="186"/>
      <c r="F29" s="187"/>
      <c r="G29" s="187"/>
    </row>
    <row r="30" spans="1:7" ht="41.25" customHeight="1">
      <c r="A30" s="8" t="s">
        <v>21</v>
      </c>
      <c r="B30" s="22" t="s">
        <v>79</v>
      </c>
      <c r="C30" s="152">
        <v>0.66</v>
      </c>
      <c r="D30" s="152">
        <f>0.66*12*B9</f>
        <v>9872.2800000000007</v>
      </c>
      <c r="E30" s="186"/>
      <c r="F30" s="187"/>
      <c r="G30" s="187"/>
    </row>
    <row r="31" spans="1:7" ht="14.25" customHeight="1">
      <c r="A31" s="9" t="s">
        <v>23</v>
      </c>
      <c r="B31" s="23" t="s">
        <v>80</v>
      </c>
      <c r="C31" s="152"/>
      <c r="D31" s="152"/>
      <c r="E31" s="186"/>
      <c r="F31" s="187"/>
      <c r="G31" s="187"/>
    </row>
    <row r="32" spans="1:7" ht="12" customHeight="1">
      <c r="A32" s="9" t="s">
        <v>25</v>
      </c>
      <c r="B32" s="23" t="s">
        <v>80</v>
      </c>
      <c r="C32" s="152"/>
      <c r="D32" s="152"/>
      <c r="E32" s="186"/>
      <c r="F32" s="187"/>
      <c r="G32" s="187"/>
    </row>
    <row r="33" spans="1:7" ht="42.75" customHeight="1">
      <c r="A33" s="9" t="s">
        <v>26</v>
      </c>
      <c r="B33" s="22" t="s">
        <v>79</v>
      </c>
      <c r="C33" s="152"/>
      <c r="D33" s="152"/>
      <c r="E33" s="186"/>
      <c r="F33" s="187"/>
      <c r="G33" s="187"/>
    </row>
    <row r="34" spans="1:7" ht="12" customHeight="1">
      <c r="A34" s="9" t="s">
        <v>27</v>
      </c>
      <c r="B34" s="22" t="s">
        <v>24</v>
      </c>
      <c r="C34" s="152"/>
      <c r="D34" s="152"/>
      <c r="E34" s="186"/>
      <c r="F34" s="187"/>
      <c r="G34" s="187"/>
    </row>
    <row r="35" spans="1:7" ht="42" customHeight="1">
      <c r="A35" s="10" t="s">
        <v>28</v>
      </c>
      <c r="B35" s="22" t="s">
        <v>79</v>
      </c>
      <c r="C35" s="152"/>
      <c r="D35" s="152"/>
      <c r="E35" s="186"/>
      <c r="F35" s="187"/>
      <c r="G35" s="187"/>
    </row>
    <row r="36" spans="1:7" ht="12" customHeight="1">
      <c r="A36" s="167" t="s">
        <v>29</v>
      </c>
      <c r="B36" s="167"/>
      <c r="C36" s="167"/>
      <c r="D36" s="167"/>
      <c r="E36" s="186"/>
      <c r="F36" s="187"/>
      <c r="G36" s="187"/>
    </row>
    <row r="37" spans="1:7" ht="39" customHeight="1">
      <c r="A37" s="9" t="s">
        <v>30</v>
      </c>
      <c r="B37" s="22" t="s">
        <v>79</v>
      </c>
      <c r="C37" s="152">
        <v>0.76</v>
      </c>
      <c r="D37" s="152">
        <f>C37*12*B9</f>
        <v>11368.080000000002</v>
      </c>
      <c r="E37" s="186"/>
      <c r="F37" s="187"/>
      <c r="G37" s="187"/>
    </row>
    <row r="38" spans="1:7" ht="34.5" customHeight="1">
      <c r="A38" s="9" t="s">
        <v>31</v>
      </c>
      <c r="B38" s="22" t="s">
        <v>79</v>
      </c>
      <c r="C38" s="152"/>
      <c r="D38" s="152"/>
      <c r="E38" s="186"/>
      <c r="F38" s="187"/>
      <c r="G38" s="187"/>
    </row>
    <row r="39" spans="1:7" ht="38.25" customHeight="1">
      <c r="A39" s="10" t="s">
        <v>32</v>
      </c>
      <c r="B39" s="22" t="s">
        <v>79</v>
      </c>
      <c r="C39" s="152"/>
      <c r="D39" s="152"/>
      <c r="E39" s="186"/>
      <c r="F39" s="187"/>
      <c r="G39" s="187"/>
    </row>
    <row r="40" spans="1:7" ht="12" customHeight="1">
      <c r="A40" s="167" t="s">
        <v>33</v>
      </c>
      <c r="B40" s="167"/>
      <c r="C40" s="167"/>
      <c r="D40" s="167"/>
      <c r="E40" s="186"/>
      <c r="F40" s="187"/>
      <c r="G40" s="187"/>
    </row>
    <row r="41" spans="1:7" ht="26.25" customHeight="1">
      <c r="A41" s="9" t="s">
        <v>34</v>
      </c>
      <c r="B41" s="22" t="s">
        <v>109</v>
      </c>
      <c r="C41" s="152">
        <v>1.23</v>
      </c>
      <c r="D41" s="152">
        <f>C41*12*B9</f>
        <v>18398.34</v>
      </c>
      <c r="E41" s="186"/>
      <c r="F41" s="187"/>
      <c r="G41" s="187"/>
    </row>
    <row r="42" spans="1:7" ht="15" customHeight="1">
      <c r="A42" s="9" t="s">
        <v>35</v>
      </c>
      <c r="B42" s="22" t="s">
        <v>110</v>
      </c>
      <c r="C42" s="152"/>
      <c r="D42" s="152"/>
      <c r="E42" s="186"/>
      <c r="F42" s="187"/>
      <c r="G42" s="187"/>
    </row>
    <row r="43" spans="1:7" ht="14.25" customHeight="1">
      <c r="A43" s="9" t="s">
        <v>36</v>
      </c>
      <c r="B43" s="22" t="s">
        <v>84</v>
      </c>
      <c r="C43" s="152"/>
      <c r="D43" s="152"/>
      <c r="E43" s="186"/>
      <c r="F43" s="187"/>
      <c r="G43" s="187"/>
    </row>
    <row r="44" spans="1:7" ht="33" customHeight="1">
      <c r="A44" s="9" t="s">
        <v>37</v>
      </c>
      <c r="B44" s="22" t="s">
        <v>82</v>
      </c>
      <c r="C44" s="152"/>
      <c r="D44" s="152"/>
      <c r="E44" s="186"/>
      <c r="F44" s="187"/>
      <c r="G44" s="187"/>
    </row>
    <row r="45" spans="1:7" ht="27" customHeight="1">
      <c r="A45" s="9" t="s">
        <v>38</v>
      </c>
      <c r="B45" s="22" t="s">
        <v>82</v>
      </c>
      <c r="C45" s="152"/>
      <c r="D45" s="152"/>
      <c r="E45" s="186"/>
      <c r="F45" s="187"/>
      <c r="G45" s="187"/>
    </row>
    <row r="46" spans="1:7" ht="13.5" customHeight="1">
      <c r="A46" s="51" t="s">
        <v>39</v>
      </c>
      <c r="B46" s="6"/>
      <c r="C46" s="152"/>
      <c r="D46" s="152"/>
      <c r="E46" s="186"/>
      <c r="F46" s="187"/>
      <c r="G46" s="187"/>
    </row>
    <row r="47" spans="1:7" ht="42" customHeight="1">
      <c r="A47" s="9" t="s">
        <v>40</v>
      </c>
      <c r="B47" s="22" t="s">
        <v>79</v>
      </c>
      <c r="C47" s="152"/>
      <c r="D47" s="152"/>
      <c r="E47" s="4"/>
      <c r="F47" s="4"/>
      <c r="G47" s="4"/>
    </row>
    <row r="48" spans="1:7" ht="14.25" customHeight="1">
      <c r="A48" s="9" t="s">
        <v>41</v>
      </c>
      <c r="B48" s="22" t="s">
        <v>24</v>
      </c>
      <c r="C48" s="152"/>
      <c r="D48" s="152"/>
      <c r="E48" s="4"/>
      <c r="F48" s="4"/>
      <c r="G48" s="4"/>
    </row>
    <row r="49" spans="1:7" ht="15" customHeight="1">
      <c r="A49" s="9" t="s">
        <v>42</v>
      </c>
      <c r="B49" s="23" t="s">
        <v>24</v>
      </c>
      <c r="C49" s="152"/>
      <c r="D49" s="152"/>
      <c r="E49" s="4"/>
      <c r="F49" s="4"/>
      <c r="G49" s="4"/>
    </row>
    <row r="50" spans="1:7" ht="15.75" customHeight="1">
      <c r="A50" s="9" t="s">
        <v>43</v>
      </c>
      <c r="B50" s="23" t="s">
        <v>24</v>
      </c>
      <c r="C50" s="152"/>
      <c r="D50" s="152"/>
      <c r="E50" s="4"/>
      <c r="F50" s="4"/>
      <c r="G50" s="4"/>
    </row>
    <row r="51" spans="1:7" ht="18.75" customHeight="1">
      <c r="A51" s="9" t="s">
        <v>44</v>
      </c>
      <c r="B51" s="21" t="s">
        <v>118</v>
      </c>
      <c r="C51" s="152"/>
      <c r="D51" s="152"/>
      <c r="E51" s="5"/>
      <c r="F51" s="4"/>
      <c r="G51" s="4"/>
    </row>
    <row r="52" spans="1:7" ht="42" customHeight="1">
      <c r="A52" s="10" t="s">
        <v>45</v>
      </c>
      <c r="B52" s="22" t="s">
        <v>79</v>
      </c>
      <c r="C52" s="152"/>
      <c r="D52" s="152"/>
      <c r="E52" s="5"/>
      <c r="F52" s="4"/>
      <c r="G52" s="4"/>
    </row>
    <row r="53" spans="1:7" ht="12" customHeight="1">
      <c r="A53" s="167" t="s">
        <v>46</v>
      </c>
      <c r="B53" s="167"/>
      <c r="C53" s="167"/>
      <c r="D53" s="167"/>
      <c r="E53" s="186"/>
      <c r="F53" s="186"/>
      <c r="G53" s="186"/>
    </row>
    <row r="54" spans="1:7" ht="12" customHeight="1">
      <c r="A54" s="9" t="s">
        <v>47</v>
      </c>
      <c r="B54" s="22" t="s">
        <v>83</v>
      </c>
      <c r="C54" s="152">
        <v>0.84</v>
      </c>
      <c r="D54" s="152">
        <f>C54*12*B9+12</f>
        <v>12576.72</v>
      </c>
      <c r="E54" s="186"/>
      <c r="F54" s="187"/>
      <c r="G54" s="187"/>
    </row>
    <row r="55" spans="1:7" ht="15" customHeight="1">
      <c r="A55" s="9" t="s">
        <v>48</v>
      </c>
      <c r="B55" s="22" t="s">
        <v>83</v>
      </c>
      <c r="C55" s="152"/>
      <c r="D55" s="152"/>
      <c r="E55" s="186"/>
      <c r="F55" s="187"/>
      <c r="G55" s="187"/>
    </row>
    <row r="56" spans="1:7" ht="28.5" customHeight="1">
      <c r="A56" s="9" t="s">
        <v>49</v>
      </c>
      <c r="B56" s="22" t="s">
        <v>84</v>
      </c>
      <c r="C56" s="152"/>
      <c r="D56" s="152"/>
      <c r="E56" s="186"/>
      <c r="F56" s="187"/>
      <c r="G56" s="187"/>
    </row>
    <row r="57" spans="1:7" ht="12" customHeight="1">
      <c r="A57" s="9" t="s">
        <v>50</v>
      </c>
      <c r="B57" s="22" t="s">
        <v>104</v>
      </c>
      <c r="C57" s="152"/>
      <c r="D57" s="152"/>
      <c r="E57" s="186"/>
      <c r="F57" s="187"/>
      <c r="G57" s="187"/>
    </row>
    <row r="58" spans="1:7" ht="36.75" customHeight="1">
      <c r="A58" s="10" t="s">
        <v>51</v>
      </c>
      <c r="B58" s="22" t="s">
        <v>79</v>
      </c>
      <c r="C58" s="152"/>
      <c r="D58" s="152"/>
      <c r="E58" s="186"/>
      <c r="F58" s="187"/>
      <c r="G58" s="187"/>
    </row>
    <row r="59" spans="1:7" ht="13.5" customHeight="1">
      <c r="A59" s="10" t="s">
        <v>52</v>
      </c>
      <c r="B59" s="23" t="s">
        <v>84</v>
      </c>
      <c r="C59" s="152"/>
      <c r="D59" s="152"/>
      <c r="E59" s="186"/>
      <c r="F59" s="187"/>
      <c r="G59" s="187"/>
    </row>
    <row r="60" spans="1:7" ht="15" customHeight="1">
      <c r="A60" s="165" t="s">
        <v>53</v>
      </c>
      <c r="B60" s="165"/>
      <c r="C60" s="165"/>
      <c r="D60" s="165"/>
      <c r="E60" s="186"/>
      <c r="F60" s="187"/>
      <c r="G60" s="187"/>
    </row>
    <row r="61" spans="1:7" ht="34.5" customHeight="1">
      <c r="A61" s="160" t="s">
        <v>54</v>
      </c>
      <c r="B61" s="177" t="s">
        <v>86</v>
      </c>
      <c r="C61" s="152">
        <v>2.41</v>
      </c>
      <c r="D61" s="152">
        <f>C61*12*B9</f>
        <v>36048.78</v>
      </c>
      <c r="E61" s="186"/>
      <c r="F61" s="187"/>
      <c r="G61" s="187"/>
    </row>
    <row r="62" spans="1:7" ht="15" customHeight="1">
      <c r="A62" s="161"/>
      <c r="B62" s="177"/>
      <c r="C62" s="152"/>
      <c r="D62" s="152"/>
      <c r="E62" s="186"/>
      <c r="F62" s="187"/>
      <c r="G62" s="187"/>
    </row>
    <row r="63" spans="1:7" ht="12.75" customHeight="1">
      <c r="A63" s="51" t="s">
        <v>55</v>
      </c>
      <c r="B63" s="21"/>
      <c r="C63" s="50"/>
      <c r="D63" s="50"/>
      <c r="E63" s="186"/>
      <c r="F63" s="187"/>
      <c r="G63" s="187"/>
    </row>
    <row r="64" spans="1:7" ht="16.5" customHeight="1">
      <c r="A64" s="6" t="s">
        <v>90</v>
      </c>
      <c r="B64" s="21" t="s">
        <v>87</v>
      </c>
      <c r="C64" s="170">
        <v>2.14</v>
      </c>
      <c r="D64" s="172">
        <f>C64*12*B9</f>
        <v>32010.12</v>
      </c>
    </row>
    <row r="65" spans="1:7">
      <c r="A65" s="6" t="s">
        <v>91</v>
      </c>
      <c r="B65" s="21" t="s">
        <v>87</v>
      </c>
      <c r="C65" s="171"/>
      <c r="D65" s="173"/>
    </row>
    <row r="66" spans="1:7" ht="15" customHeight="1">
      <c r="A66" s="6" t="s">
        <v>92</v>
      </c>
      <c r="B66" s="21" t="s">
        <v>87</v>
      </c>
      <c r="C66" s="169"/>
      <c r="D66" s="174"/>
    </row>
    <row r="67" spans="1:7" ht="39" customHeight="1">
      <c r="A67" s="6" t="s">
        <v>143</v>
      </c>
      <c r="B67" s="22" t="s">
        <v>79</v>
      </c>
      <c r="C67" s="50">
        <v>4.22</v>
      </c>
      <c r="D67" s="50">
        <f>C67*12*B9</f>
        <v>63122.76</v>
      </c>
      <c r="E67" s="186"/>
      <c r="F67" s="187"/>
      <c r="G67" s="187"/>
    </row>
    <row r="68" spans="1:7" ht="12" customHeight="1">
      <c r="A68" s="51" t="s">
        <v>56</v>
      </c>
      <c r="B68" s="23"/>
      <c r="C68" s="28">
        <f>C67+C64+C61+C54+C41+C37+C30+C26+C20+C18+C17+C14</f>
        <v>19.36</v>
      </c>
      <c r="D68" s="28">
        <f>D67+D64+D61+D54+D41+D37+D30+D26+D20+D18+D17+D14</f>
        <v>289598.88</v>
      </c>
      <c r="E68" s="186"/>
      <c r="F68" s="187"/>
      <c r="G68" s="187"/>
    </row>
    <row r="69" spans="1:7">
      <c r="A69" s="49"/>
      <c r="B69" s="49"/>
      <c r="C69" s="49"/>
      <c r="D69" s="49"/>
      <c r="E69" s="49"/>
      <c r="F69" s="49"/>
      <c r="G69" s="49"/>
    </row>
    <row r="70" spans="1:7">
      <c r="A70" s="15"/>
      <c r="B70" s="16"/>
      <c r="C70" s="17"/>
      <c r="D70" s="17"/>
      <c r="E70" s="18"/>
      <c r="F70" s="18"/>
      <c r="G70" s="16"/>
    </row>
    <row r="71" spans="1:7" ht="17.25" customHeight="1">
      <c r="A71" s="15"/>
      <c r="B71" s="16"/>
      <c r="C71" s="195"/>
      <c r="D71" s="195"/>
      <c r="E71" s="197"/>
      <c r="F71" s="197"/>
      <c r="G71" s="16"/>
    </row>
    <row r="72" spans="1:7" ht="17.25" customHeight="1">
      <c r="A72" s="15"/>
      <c r="B72" s="16"/>
      <c r="C72" s="196"/>
      <c r="D72" s="196"/>
      <c r="E72" s="196"/>
      <c r="F72" s="196"/>
      <c r="G72" s="16"/>
    </row>
    <row r="73" spans="1:7" ht="17.25" customHeight="1">
      <c r="A73" s="19"/>
      <c r="B73" s="12"/>
      <c r="C73" s="13"/>
      <c r="D73" s="45"/>
      <c r="E73" s="13"/>
      <c r="F73" s="20"/>
      <c r="G73" s="14"/>
    </row>
    <row r="74" spans="1:7" ht="17.25" customHeight="1">
      <c r="A74" s="19"/>
      <c r="B74" s="12"/>
      <c r="C74" s="13"/>
      <c r="D74" s="45"/>
      <c r="E74" s="13"/>
      <c r="F74" s="13"/>
      <c r="G74" s="14"/>
    </row>
    <row r="75" spans="1:7" ht="17.25" customHeight="1">
      <c r="A75" s="19"/>
      <c r="B75" s="12"/>
      <c r="C75" s="13"/>
      <c r="D75" s="13"/>
      <c r="E75" s="13"/>
      <c r="F75" s="13"/>
      <c r="G75" s="14"/>
    </row>
    <row r="76" spans="1:7">
      <c r="A76" s="19"/>
      <c r="B76" s="12"/>
      <c r="C76" s="13"/>
      <c r="D76" s="13"/>
      <c r="E76" s="13"/>
      <c r="F76" s="13"/>
      <c r="G76" s="14"/>
    </row>
    <row r="77" spans="1:7">
      <c r="A77" s="19"/>
      <c r="B77" s="12"/>
      <c r="C77" s="13"/>
      <c r="D77" s="13"/>
      <c r="E77" s="13"/>
      <c r="F77" s="13"/>
      <c r="G77" s="14"/>
    </row>
    <row r="78" spans="1:7">
      <c r="A78" s="19"/>
      <c r="B78" s="12"/>
      <c r="C78" s="13"/>
      <c r="D78" s="13"/>
      <c r="E78" s="13"/>
      <c r="F78" s="13"/>
      <c r="G78" s="14"/>
    </row>
    <row r="79" spans="1:7">
      <c r="A79" s="19"/>
      <c r="B79" s="12"/>
      <c r="C79" s="13"/>
      <c r="D79" s="13"/>
      <c r="E79" s="13"/>
      <c r="F79" s="13"/>
      <c r="G79" s="14"/>
    </row>
    <row r="80" spans="1:7">
      <c r="A80" s="19"/>
      <c r="B80" s="12"/>
      <c r="C80" s="13"/>
      <c r="D80" s="13"/>
      <c r="E80" s="13"/>
      <c r="F80" s="13"/>
      <c r="G80" s="14"/>
    </row>
    <row r="81" spans="1:7">
      <c r="A81" s="11"/>
      <c r="B81" s="12"/>
      <c r="C81" s="13"/>
      <c r="D81" s="13"/>
      <c r="E81" s="13"/>
      <c r="F81" s="13"/>
      <c r="G81" s="14"/>
    </row>
  </sheetData>
  <mergeCells count="78">
    <mergeCell ref="E68:G68"/>
    <mergeCell ref="C71:C72"/>
    <mergeCell ref="D71:D72"/>
    <mergeCell ref="E71:E72"/>
    <mergeCell ref="F71:F72"/>
    <mergeCell ref="A61:A62"/>
    <mergeCell ref="B61:B62"/>
    <mergeCell ref="C61:C62"/>
    <mergeCell ref="D61:D62"/>
    <mergeCell ref="E61:G61"/>
    <mergeCell ref="E62:G62"/>
    <mergeCell ref="E63:G63"/>
    <mergeCell ref="C64:C66"/>
    <mergeCell ref="D64:D66"/>
    <mergeCell ref="E67:G67"/>
    <mergeCell ref="A53:D53"/>
    <mergeCell ref="E53:G53"/>
    <mergeCell ref="C54:C59"/>
    <mergeCell ref="D54:D59"/>
    <mergeCell ref="E54:G54"/>
    <mergeCell ref="E55:G55"/>
    <mergeCell ref="E56:G56"/>
    <mergeCell ref="E57:G57"/>
    <mergeCell ref="E58:G58"/>
    <mergeCell ref="E59:G59"/>
    <mergeCell ref="A60:D60"/>
    <mergeCell ref="E60:G60"/>
    <mergeCell ref="A40:D40"/>
    <mergeCell ref="E40:G40"/>
    <mergeCell ref="C41:C52"/>
    <mergeCell ref="D41:D52"/>
    <mergeCell ref="E41:G41"/>
    <mergeCell ref="E42:G42"/>
    <mergeCell ref="E43:G43"/>
    <mergeCell ref="E44:G44"/>
    <mergeCell ref="E45:G45"/>
    <mergeCell ref="E46:G46"/>
    <mergeCell ref="A36:D36"/>
    <mergeCell ref="E36:G36"/>
    <mergeCell ref="C37:C39"/>
    <mergeCell ref="D37:D39"/>
    <mergeCell ref="E37:G37"/>
    <mergeCell ref="E38:G38"/>
    <mergeCell ref="E39:G39"/>
    <mergeCell ref="A29:D29"/>
    <mergeCell ref="E29:G29"/>
    <mergeCell ref="C30:C35"/>
    <mergeCell ref="D30:D35"/>
    <mergeCell ref="E30:G30"/>
    <mergeCell ref="E31:G31"/>
    <mergeCell ref="E32:G32"/>
    <mergeCell ref="E33:G33"/>
    <mergeCell ref="E34:G34"/>
    <mergeCell ref="E35:G35"/>
    <mergeCell ref="A25:D25"/>
    <mergeCell ref="E25:G25"/>
    <mergeCell ref="C26:C27"/>
    <mergeCell ref="D26:D27"/>
    <mergeCell ref="A28:D28"/>
    <mergeCell ref="E28:G28"/>
    <mergeCell ref="A19:D19"/>
    <mergeCell ref="E19:G19"/>
    <mergeCell ref="C20:C24"/>
    <mergeCell ref="D20:D24"/>
    <mergeCell ref="E20:G20"/>
    <mergeCell ref="E21:G21"/>
    <mergeCell ref="E22:G22"/>
    <mergeCell ref="E23:G23"/>
    <mergeCell ref="E24:G24"/>
    <mergeCell ref="E16:G16"/>
    <mergeCell ref="E12:G12"/>
    <mergeCell ref="A13:D13"/>
    <mergeCell ref="E13:G13"/>
    <mergeCell ref="E14:G14"/>
    <mergeCell ref="E15:G15"/>
    <mergeCell ref="B14:B15"/>
    <mergeCell ref="C14:C15"/>
    <mergeCell ref="D14:D1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  <colBreaks count="1" manualBreakCount="1">
    <brk id="4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>
  <dimension ref="A1:G81"/>
  <sheetViews>
    <sheetView topLeftCell="A52" workbookViewId="0">
      <selection activeCell="E68" sqref="E68:G68"/>
    </sheetView>
  </sheetViews>
  <sheetFormatPr defaultRowHeight="15"/>
  <cols>
    <col min="1" max="1" width="95.28515625" customWidth="1"/>
    <col min="2" max="2" width="12.5703125" customWidth="1"/>
    <col min="3" max="3" width="11.28515625" customWidth="1"/>
    <col min="4" max="4" width="11.7109375" customWidth="1"/>
  </cols>
  <sheetData>
    <row r="1" spans="1:7">
      <c r="A1" s="1" t="s">
        <v>0</v>
      </c>
      <c r="B1" s="2"/>
      <c r="C1" s="2"/>
      <c r="D1" s="2" t="s">
        <v>63</v>
      </c>
      <c r="E1" s="2"/>
      <c r="F1" s="2"/>
      <c r="G1" s="2"/>
    </row>
    <row r="2" spans="1:7">
      <c r="A2" s="1" t="s">
        <v>112</v>
      </c>
      <c r="B2" s="2"/>
      <c r="C2" s="2"/>
      <c r="D2" s="2"/>
      <c r="E2" s="2"/>
      <c r="F2" s="2"/>
      <c r="G2" s="2"/>
    </row>
    <row r="3" spans="1:7">
      <c r="A3" s="1" t="s">
        <v>107</v>
      </c>
      <c r="B3" s="2"/>
      <c r="C3" s="2"/>
      <c r="D3" s="2"/>
      <c r="E3" s="2"/>
      <c r="F3" s="2"/>
      <c r="G3" s="2"/>
    </row>
    <row r="4" spans="1:7">
      <c r="A4" s="3"/>
      <c r="B4" s="2"/>
      <c r="C4" s="2"/>
      <c r="D4" s="2"/>
      <c r="E4" s="2"/>
      <c r="F4" s="2"/>
      <c r="G4" s="2"/>
    </row>
    <row r="5" spans="1:7">
      <c r="A5" s="25" t="s">
        <v>58</v>
      </c>
      <c r="B5" s="2">
        <v>1964</v>
      </c>
      <c r="C5" s="2"/>
      <c r="D5" s="2"/>
      <c r="E5" s="2"/>
      <c r="F5" s="2"/>
      <c r="G5" s="2"/>
    </row>
    <row r="6" spans="1:7">
      <c r="A6" s="25" t="s">
        <v>59</v>
      </c>
      <c r="B6" s="2">
        <v>4</v>
      </c>
      <c r="C6" s="2"/>
      <c r="D6" s="2"/>
      <c r="E6" s="2"/>
      <c r="F6" s="2"/>
      <c r="G6" s="2"/>
    </row>
    <row r="7" spans="1:7">
      <c r="A7" s="25" t="s">
        <v>60</v>
      </c>
      <c r="B7" s="2">
        <v>4</v>
      </c>
      <c r="C7" s="2"/>
      <c r="D7" s="2"/>
      <c r="E7" s="2"/>
      <c r="F7" s="2"/>
      <c r="G7" s="2"/>
    </row>
    <row r="8" spans="1:7">
      <c r="A8" s="25" t="s">
        <v>61</v>
      </c>
      <c r="B8" s="2">
        <v>64</v>
      </c>
      <c r="C8" s="2"/>
      <c r="D8" s="2"/>
      <c r="E8" s="2"/>
      <c r="F8" s="2"/>
      <c r="G8" s="2"/>
    </row>
    <row r="9" spans="1:7">
      <c r="A9" s="25" t="s">
        <v>72</v>
      </c>
      <c r="B9" s="2">
        <v>2521.8000000000002</v>
      </c>
      <c r="C9" s="2"/>
      <c r="D9" s="2"/>
      <c r="E9" s="2"/>
      <c r="F9" s="2"/>
      <c r="G9" s="2"/>
    </row>
    <row r="10" spans="1:7">
      <c r="A10" s="25" t="s">
        <v>62</v>
      </c>
      <c r="B10" s="2">
        <v>194.7</v>
      </c>
      <c r="C10" s="2"/>
      <c r="D10" s="2"/>
      <c r="E10" s="2"/>
      <c r="F10" s="2"/>
      <c r="G10" s="2"/>
    </row>
    <row r="11" spans="1:7">
      <c r="A11" s="25" t="s">
        <v>73</v>
      </c>
      <c r="B11" s="46" t="s">
        <v>100</v>
      </c>
      <c r="C11" s="2"/>
      <c r="D11" s="2"/>
      <c r="E11" s="2"/>
      <c r="F11" s="2"/>
      <c r="G11" s="2"/>
    </row>
    <row r="12" spans="1:7" ht="45.75" customHeight="1">
      <c r="A12" s="38" t="s">
        <v>1</v>
      </c>
      <c r="B12" s="38" t="s">
        <v>2</v>
      </c>
      <c r="C12" s="38" t="s">
        <v>3</v>
      </c>
      <c r="D12" s="38" t="s">
        <v>4</v>
      </c>
      <c r="E12" s="186"/>
      <c r="F12" s="186"/>
      <c r="G12" s="186"/>
    </row>
    <row r="13" spans="1:7">
      <c r="A13" s="188" t="s">
        <v>5</v>
      </c>
      <c r="B13" s="189"/>
      <c r="C13" s="189"/>
      <c r="D13" s="190"/>
      <c r="E13" s="186"/>
      <c r="F13" s="186"/>
      <c r="G13" s="186"/>
    </row>
    <row r="14" spans="1:7" ht="87" customHeight="1">
      <c r="A14" s="104" t="s">
        <v>6</v>
      </c>
      <c r="B14" s="160" t="s">
        <v>8</v>
      </c>
      <c r="C14" s="153">
        <v>1.34</v>
      </c>
      <c r="D14" s="163">
        <f>C14*12*B9</f>
        <v>40550.544000000009</v>
      </c>
      <c r="E14" s="186"/>
      <c r="F14" s="186"/>
      <c r="G14" s="186"/>
    </row>
    <row r="15" spans="1:7" ht="73.5" customHeight="1">
      <c r="A15" s="103" t="s">
        <v>89</v>
      </c>
      <c r="B15" s="161"/>
      <c r="C15" s="162"/>
      <c r="D15" s="164"/>
      <c r="E15" s="186"/>
      <c r="F15" s="187"/>
      <c r="G15" s="187"/>
    </row>
    <row r="16" spans="1:7">
      <c r="A16" s="6" t="s">
        <v>9</v>
      </c>
      <c r="B16" s="38"/>
      <c r="C16" s="26"/>
      <c r="D16" s="26"/>
      <c r="E16" s="186"/>
      <c r="F16" s="187"/>
      <c r="G16" s="187"/>
    </row>
    <row r="17" spans="1:7">
      <c r="A17" s="6" t="s">
        <v>114</v>
      </c>
      <c r="B17" s="47" t="s">
        <v>88</v>
      </c>
      <c r="C17" s="26">
        <v>0.28000000000000003</v>
      </c>
      <c r="D17" s="30">
        <f>C17*12*B9</f>
        <v>8473.2480000000014</v>
      </c>
    </row>
    <row r="18" spans="1:7">
      <c r="A18" s="6" t="s">
        <v>329</v>
      </c>
      <c r="B18" s="47" t="s">
        <v>88</v>
      </c>
      <c r="C18" s="26">
        <v>0.05</v>
      </c>
      <c r="D18" s="30">
        <f>C18*12*B9</f>
        <v>1513.0800000000004</v>
      </c>
    </row>
    <row r="19" spans="1:7" ht="12" customHeight="1">
      <c r="A19" s="191" t="s">
        <v>10</v>
      </c>
      <c r="B19" s="192"/>
      <c r="C19" s="192"/>
      <c r="D19" s="193"/>
      <c r="E19" s="194"/>
      <c r="F19" s="186"/>
      <c r="G19" s="186"/>
    </row>
    <row r="20" spans="1:7" ht="11.25" customHeight="1">
      <c r="A20" s="6" t="s">
        <v>11</v>
      </c>
      <c r="B20" s="42" t="s">
        <v>75</v>
      </c>
      <c r="C20" s="153">
        <v>2.16</v>
      </c>
      <c r="D20" s="153">
        <f>C20*12*B9</f>
        <v>65365.056000000011</v>
      </c>
      <c r="E20" s="194"/>
      <c r="F20" s="186"/>
      <c r="G20" s="186"/>
    </row>
    <row r="21" spans="1:7" ht="13.5" customHeight="1">
      <c r="A21" s="6" t="s">
        <v>12</v>
      </c>
      <c r="B21" s="42" t="s">
        <v>75</v>
      </c>
      <c r="C21" s="168"/>
      <c r="D21" s="168"/>
      <c r="E21" s="194"/>
      <c r="F21" s="186"/>
      <c r="G21" s="186"/>
    </row>
    <row r="22" spans="1:7" ht="12.75" customHeight="1">
      <c r="A22" s="6" t="s">
        <v>13</v>
      </c>
      <c r="B22" s="42" t="s">
        <v>75</v>
      </c>
      <c r="C22" s="168"/>
      <c r="D22" s="168"/>
      <c r="E22" s="194"/>
      <c r="F22" s="186"/>
      <c r="G22" s="186"/>
    </row>
    <row r="23" spans="1:7" ht="12" customHeight="1">
      <c r="A23" s="6" t="s">
        <v>14</v>
      </c>
      <c r="B23" s="42" t="s">
        <v>76</v>
      </c>
      <c r="C23" s="168"/>
      <c r="D23" s="168"/>
      <c r="E23" s="194"/>
      <c r="F23" s="186"/>
      <c r="G23" s="186"/>
    </row>
    <row r="24" spans="1:7" ht="24" customHeight="1">
      <c r="A24" s="6" t="s">
        <v>15</v>
      </c>
      <c r="B24" s="42" t="s">
        <v>94</v>
      </c>
      <c r="C24" s="162"/>
      <c r="D24" s="162"/>
      <c r="E24" s="194"/>
      <c r="F24" s="186"/>
      <c r="G24" s="186"/>
    </row>
    <row r="25" spans="1:7" ht="12" customHeight="1">
      <c r="A25" s="191" t="s">
        <v>16</v>
      </c>
      <c r="B25" s="192"/>
      <c r="C25" s="192"/>
      <c r="D25" s="193"/>
      <c r="E25" s="194"/>
      <c r="F25" s="186"/>
      <c r="G25" s="186"/>
    </row>
    <row r="26" spans="1:7" ht="12" customHeight="1">
      <c r="A26" s="7" t="s">
        <v>17</v>
      </c>
      <c r="B26" s="21" t="s">
        <v>78</v>
      </c>
      <c r="C26" s="152">
        <v>0.2</v>
      </c>
      <c r="D26" s="167">
        <f>C26*12*B9</f>
        <v>6052.3200000000015</v>
      </c>
      <c r="E26" s="15"/>
    </row>
    <row r="27" spans="1:7" ht="12" customHeight="1">
      <c r="A27" s="7" t="s">
        <v>18</v>
      </c>
      <c r="B27" s="21" t="s">
        <v>77</v>
      </c>
      <c r="C27" s="152"/>
      <c r="D27" s="167"/>
      <c r="E27" s="48"/>
    </row>
    <row r="28" spans="1:7" ht="12" customHeight="1">
      <c r="A28" s="165" t="s">
        <v>19</v>
      </c>
      <c r="B28" s="165"/>
      <c r="C28" s="165"/>
      <c r="D28" s="165"/>
      <c r="E28" s="186"/>
      <c r="F28" s="187"/>
      <c r="G28" s="187"/>
    </row>
    <row r="29" spans="1:7" ht="12" customHeight="1">
      <c r="A29" s="167" t="s">
        <v>20</v>
      </c>
      <c r="B29" s="167"/>
      <c r="C29" s="167"/>
      <c r="D29" s="167"/>
      <c r="E29" s="186"/>
      <c r="F29" s="187"/>
      <c r="G29" s="187"/>
    </row>
    <row r="30" spans="1:7" ht="41.25" customHeight="1">
      <c r="A30" s="8" t="s">
        <v>21</v>
      </c>
      <c r="B30" s="22" t="s">
        <v>79</v>
      </c>
      <c r="C30" s="152">
        <v>0.66</v>
      </c>
      <c r="D30" s="152">
        <f>C30*12*B9</f>
        <v>19972.656000000003</v>
      </c>
      <c r="E30" s="186"/>
      <c r="F30" s="187"/>
      <c r="G30" s="187"/>
    </row>
    <row r="31" spans="1:7" ht="14.25" customHeight="1">
      <c r="A31" s="9" t="s">
        <v>23</v>
      </c>
      <c r="B31" s="23" t="s">
        <v>80</v>
      </c>
      <c r="C31" s="152"/>
      <c r="D31" s="152"/>
      <c r="E31" s="186"/>
      <c r="F31" s="187"/>
      <c r="G31" s="187"/>
    </row>
    <row r="32" spans="1:7" ht="12" customHeight="1">
      <c r="A32" s="9" t="s">
        <v>25</v>
      </c>
      <c r="B32" s="23" t="s">
        <v>80</v>
      </c>
      <c r="C32" s="152"/>
      <c r="D32" s="152"/>
      <c r="E32" s="186"/>
      <c r="F32" s="187"/>
      <c r="G32" s="187"/>
    </row>
    <row r="33" spans="1:7" ht="42.75" customHeight="1">
      <c r="A33" s="9" t="s">
        <v>26</v>
      </c>
      <c r="B33" s="22" t="s">
        <v>79</v>
      </c>
      <c r="C33" s="152"/>
      <c r="D33" s="152"/>
      <c r="E33" s="186"/>
      <c r="F33" s="187"/>
      <c r="G33" s="187"/>
    </row>
    <row r="34" spans="1:7" ht="12" customHeight="1">
      <c r="A34" s="9" t="s">
        <v>27</v>
      </c>
      <c r="B34" s="22" t="s">
        <v>24</v>
      </c>
      <c r="C34" s="152"/>
      <c r="D34" s="152"/>
      <c r="E34" s="186"/>
      <c r="F34" s="187"/>
      <c r="G34" s="187"/>
    </row>
    <row r="35" spans="1:7" ht="42" customHeight="1">
      <c r="A35" s="10" t="s">
        <v>28</v>
      </c>
      <c r="B35" s="22" t="s">
        <v>79</v>
      </c>
      <c r="C35" s="152"/>
      <c r="D35" s="152"/>
      <c r="E35" s="186"/>
      <c r="F35" s="187"/>
      <c r="G35" s="187"/>
    </row>
    <row r="36" spans="1:7" ht="12" customHeight="1">
      <c r="A36" s="167" t="s">
        <v>29</v>
      </c>
      <c r="B36" s="167"/>
      <c r="C36" s="167"/>
      <c r="D36" s="167"/>
      <c r="E36" s="186"/>
      <c r="F36" s="187"/>
      <c r="G36" s="187"/>
    </row>
    <row r="37" spans="1:7" ht="39" customHeight="1">
      <c r="A37" s="9" t="s">
        <v>30</v>
      </c>
      <c r="B37" s="22" t="s">
        <v>79</v>
      </c>
      <c r="C37" s="152">
        <v>0.76</v>
      </c>
      <c r="D37" s="152">
        <f>C37*12*B9</f>
        <v>22998.816000000003</v>
      </c>
      <c r="E37" s="186"/>
      <c r="F37" s="187"/>
      <c r="G37" s="187"/>
    </row>
    <row r="38" spans="1:7" ht="34.5" customHeight="1">
      <c r="A38" s="9" t="s">
        <v>31</v>
      </c>
      <c r="B38" s="22" t="s">
        <v>79</v>
      </c>
      <c r="C38" s="152"/>
      <c r="D38" s="152"/>
      <c r="E38" s="186"/>
      <c r="F38" s="187"/>
      <c r="G38" s="187"/>
    </row>
    <row r="39" spans="1:7" ht="38.25" customHeight="1">
      <c r="A39" s="10" t="s">
        <v>32</v>
      </c>
      <c r="B39" s="22" t="s">
        <v>79</v>
      </c>
      <c r="C39" s="152"/>
      <c r="D39" s="152"/>
      <c r="E39" s="186"/>
      <c r="F39" s="187"/>
      <c r="G39" s="187"/>
    </row>
    <row r="40" spans="1:7" ht="12" customHeight="1">
      <c r="A40" s="167" t="s">
        <v>33</v>
      </c>
      <c r="B40" s="167"/>
      <c r="C40" s="167"/>
      <c r="D40" s="167"/>
      <c r="E40" s="186"/>
      <c r="F40" s="187"/>
      <c r="G40" s="187"/>
    </row>
    <row r="41" spans="1:7" ht="26.25" customHeight="1">
      <c r="A41" s="9" t="s">
        <v>34</v>
      </c>
      <c r="B41" s="22" t="s">
        <v>109</v>
      </c>
      <c r="C41" s="152">
        <f>3.45-0.21</f>
        <v>3.24</v>
      </c>
      <c r="D41" s="152">
        <f>C41*12*B9</f>
        <v>98047.584000000017</v>
      </c>
      <c r="E41" s="186"/>
      <c r="F41" s="187"/>
      <c r="G41" s="187"/>
    </row>
    <row r="42" spans="1:7" ht="15" customHeight="1">
      <c r="A42" s="9" t="s">
        <v>35</v>
      </c>
      <c r="B42" s="22" t="s">
        <v>110</v>
      </c>
      <c r="C42" s="152"/>
      <c r="D42" s="152"/>
      <c r="E42" s="186"/>
      <c r="F42" s="187"/>
      <c r="G42" s="187"/>
    </row>
    <row r="43" spans="1:7" ht="14.25" customHeight="1">
      <c r="A43" s="9" t="s">
        <v>36</v>
      </c>
      <c r="B43" s="22" t="s">
        <v>84</v>
      </c>
      <c r="C43" s="152"/>
      <c r="D43" s="152"/>
      <c r="E43" s="186"/>
      <c r="F43" s="187"/>
      <c r="G43" s="187"/>
    </row>
    <row r="44" spans="1:7" ht="33" customHeight="1">
      <c r="A44" s="9" t="s">
        <v>37</v>
      </c>
      <c r="B44" s="22" t="s">
        <v>82</v>
      </c>
      <c r="C44" s="152"/>
      <c r="D44" s="152"/>
      <c r="E44" s="186"/>
      <c r="F44" s="187"/>
      <c r="G44" s="187"/>
    </row>
    <row r="45" spans="1:7" ht="27" customHeight="1">
      <c r="A45" s="9" t="s">
        <v>38</v>
      </c>
      <c r="B45" s="22" t="s">
        <v>82</v>
      </c>
      <c r="C45" s="152"/>
      <c r="D45" s="152"/>
      <c r="E45" s="186"/>
      <c r="F45" s="187"/>
      <c r="G45" s="187"/>
    </row>
    <row r="46" spans="1:7" ht="13.5" customHeight="1">
      <c r="A46" s="37" t="s">
        <v>39</v>
      </c>
      <c r="B46" s="6"/>
      <c r="C46" s="152"/>
      <c r="D46" s="152"/>
      <c r="E46" s="186"/>
      <c r="F46" s="187"/>
      <c r="G46" s="187"/>
    </row>
    <row r="47" spans="1:7" ht="42" customHeight="1">
      <c r="A47" s="9" t="s">
        <v>40</v>
      </c>
      <c r="B47" s="22" t="s">
        <v>79</v>
      </c>
      <c r="C47" s="152"/>
      <c r="D47" s="152"/>
      <c r="E47" s="4"/>
      <c r="F47" s="4"/>
      <c r="G47" s="4"/>
    </row>
    <row r="48" spans="1:7" ht="14.25" customHeight="1">
      <c r="A48" s="9" t="s">
        <v>41</v>
      </c>
      <c r="B48" s="22" t="s">
        <v>24</v>
      </c>
      <c r="C48" s="152"/>
      <c r="D48" s="152"/>
      <c r="E48" s="4"/>
      <c r="F48" s="4"/>
      <c r="G48" s="4"/>
    </row>
    <row r="49" spans="1:7" ht="15" customHeight="1">
      <c r="A49" s="9" t="s">
        <v>42</v>
      </c>
      <c r="B49" s="23" t="s">
        <v>24</v>
      </c>
      <c r="C49" s="152"/>
      <c r="D49" s="152"/>
      <c r="E49" s="4"/>
      <c r="F49" s="4"/>
      <c r="G49" s="4"/>
    </row>
    <row r="50" spans="1:7" ht="15.75" customHeight="1">
      <c r="A50" s="9" t="s">
        <v>43</v>
      </c>
      <c r="B50" s="23" t="s">
        <v>24</v>
      </c>
      <c r="C50" s="152"/>
      <c r="D50" s="152"/>
      <c r="E50" s="4"/>
      <c r="F50" s="4"/>
      <c r="G50" s="4"/>
    </row>
    <row r="51" spans="1:7" ht="18.75" customHeight="1">
      <c r="A51" s="9" t="s">
        <v>44</v>
      </c>
      <c r="B51" s="21" t="s">
        <v>113</v>
      </c>
      <c r="C51" s="152"/>
      <c r="D51" s="152"/>
      <c r="E51" s="5"/>
      <c r="F51" s="4"/>
      <c r="G51" s="4"/>
    </row>
    <row r="52" spans="1:7" ht="42" customHeight="1">
      <c r="A52" s="10" t="s">
        <v>45</v>
      </c>
      <c r="B52" s="22" t="s">
        <v>79</v>
      </c>
      <c r="C52" s="152"/>
      <c r="D52" s="152"/>
      <c r="E52" s="5"/>
      <c r="F52" s="4"/>
      <c r="G52" s="4"/>
    </row>
    <row r="53" spans="1:7" ht="12" customHeight="1">
      <c r="A53" s="167" t="s">
        <v>46</v>
      </c>
      <c r="B53" s="167"/>
      <c r="C53" s="167"/>
      <c r="D53" s="167"/>
      <c r="E53" s="186"/>
      <c r="F53" s="186"/>
      <c r="G53" s="186"/>
    </row>
    <row r="54" spans="1:7" ht="12" customHeight="1">
      <c r="A54" s="9" t="s">
        <v>47</v>
      </c>
      <c r="B54" s="22" t="s">
        <v>83</v>
      </c>
      <c r="C54" s="152">
        <v>1.9</v>
      </c>
      <c r="D54" s="152">
        <f>C54*12*B9-1029.47</f>
        <v>56467.569999999992</v>
      </c>
      <c r="E54" s="186"/>
      <c r="F54" s="187"/>
      <c r="G54" s="187"/>
    </row>
    <row r="55" spans="1:7" ht="15" customHeight="1">
      <c r="A55" s="9" t="s">
        <v>48</v>
      </c>
      <c r="B55" s="22" t="s">
        <v>83</v>
      </c>
      <c r="C55" s="152"/>
      <c r="D55" s="152"/>
      <c r="E55" s="186"/>
      <c r="F55" s="187"/>
      <c r="G55" s="187"/>
    </row>
    <row r="56" spans="1:7" ht="28.5" customHeight="1">
      <c r="A56" s="9" t="s">
        <v>49</v>
      </c>
      <c r="B56" s="22" t="s">
        <v>84</v>
      </c>
      <c r="C56" s="152"/>
      <c r="D56" s="152"/>
      <c r="E56" s="186"/>
      <c r="F56" s="187"/>
      <c r="G56" s="187"/>
    </row>
    <row r="57" spans="1:7" ht="12" customHeight="1">
      <c r="A57" s="9" t="s">
        <v>50</v>
      </c>
      <c r="B57" s="22" t="s">
        <v>104</v>
      </c>
      <c r="C57" s="152"/>
      <c r="D57" s="152"/>
      <c r="E57" s="186"/>
      <c r="F57" s="187"/>
      <c r="G57" s="187"/>
    </row>
    <row r="58" spans="1:7" ht="36.75" customHeight="1">
      <c r="A58" s="10" t="s">
        <v>51</v>
      </c>
      <c r="B58" s="22" t="s">
        <v>79</v>
      </c>
      <c r="C58" s="152"/>
      <c r="D58" s="152"/>
      <c r="E58" s="186"/>
      <c r="F58" s="187"/>
      <c r="G58" s="187"/>
    </row>
    <row r="59" spans="1:7" ht="13.5" customHeight="1">
      <c r="A59" s="10" t="s">
        <v>52</v>
      </c>
      <c r="B59" s="23" t="s">
        <v>84</v>
      </c>
      <c r="C59" s="152"/>
      <c r="D59" s="152"/>
      <c r="E59" s="186"/>
      <c r="F59" s="187"/>
      <c r="G59" s="187"/>
    </row>
    <row r="60" spans="1:7" ht="15" customHeight="1">
      <c r="A60" s="165" t="s">
        <v>53</v>
      </c>
      <c r="B60" s="165"/>
      <c r="C60" s="165"/>
      <c r="D60" s="165"/>
      <c r="E60" s="186"/>
      <c r="F60" s="187"/>
      <c r="G60" s="187"/>
    </row>
    <row r="61" spans="1:7" ht="34.5" customHeight="1">
      <c r="A61" s="160" t="s">
        <v>54</v>
      </c>
      <c r="B61" s="177" t="s">
        <v>86</v>
      </c>
      <c r="C61" s="152">
        <v>2.41</v>
      </c>
      <c r="D61" s="152">
        <f>C61*12*B9</f>
        <v>72930.456000000006</v>
      </c>
      <c r="E61" s="186"/>
      <c r="F61" s="187"/>
      <c r="G61" s="187"/>
    </row>
    <row r="62" spans="1:7" ht="15" customHeight="1">
      <c r="A62" s="161"/>
      <c r="B62" s="177"/>
      <c r="C62" s="152"/>
      <c r="D62" s="152"/>
      <c r="E62" s="186"/>
      <c r="F62" s="187"/>
      <c r="G62" s="187"/>
    </row>
    <row r="63" spans="1:7" ht="12.75" customHeight="1">
      <c r="A63" s="37" t="s">
        <v>55</v>
      </c>
      <c r="B63" s="21"/>
      <c r="C63" s="36"/>
      <c r="D63" s="36"/>
      <c r="E63" s="186"/>
      <c r="F63" s="187"/>
      <c r="G63" s="187"/>
    </row>
    <row r="64" spans="1:7" ht="16.5" customHeight="1">
      <c r="A64" s="6" t="s">
        <v>90</v>
      </c>
      <c r="B64" s="21" t="s">
        <v>87</v>
      </c>
      <c r="C64" s="170">
        <v>2.14</v>
      </c>
      <c r="D64" s="172">
        <f>5396.87+59363.37</f>
        <v>64760.240000000005</v>
      </c>
    </row>
    <row r="65" spans="1:7">
      <c r="A65" s="6" t="s">
        <v>91</v>
      </c>
      <c r="B65" s="21" t="s">
        <v>87</v>
      </c>
      <c r="C65" s="171"/>
      <c r="D65" s="173"/>
    </row>
    <row r="66" spans="1:7" ht="15" customHeight="1">
      <c r="A66" s="6" t="s">
        <v>92</v>
      </c>
      <c r="B66" s="21" t="s">
        <v>87</v>
      </c>
      <c r="C66" s="169"/>
      <c r="D66" s="174"/>
    </row>
    <row r="67" spans="1:7" ht="39" customHeight="1">
      <c r="A67" s="6" t="s">
        <v>143</v>
      </c>
      <c r="B67" s="22" t="s">
        <v>79</v>
      </c>
      <c r="C67" s="36">
        <v>4.22</v>
      </c>
      <c r="D67" s="36">
        <f>C67*12*B9</f>
        <v>127703.952</v>
      </c>
      <c r="E67" s="186"/>
      <c r="F67" s="187"/>
      <c r="G67" s="187"/>
    </row>
    <row r="68" spans="1:7" ht="12" customHeight="1">
      <c r="A68" s="37" t="s">
        <v>56</v>
      </c>
      <c r="B68" s="23"/>
      <c r="C68" s="28">
        <f>C67+C64+C61+C54+C41+C37+C30+C26+C20+C18+C17+C14</f>
        <v>19.36</v>
      </c>
      <c r="D68" s="28">
        <f>D67+D64+D61+D54+D41+D37+D30+D26+D20+D18+D17+D14</f>
        <v>584835.52200000011</v>
      </c>
      <c r="E68" s="186"/>
      <c r="F68" s="187"/>
      <c r="G68" s="187"/>
    </row>
    <row r="69" spans="1:7">
      <c r="A69" s="35"/>
      <c r="B69" s="35"/>
      <c r="C69" s="35"/>
      <c r="D69" s="35"/>
      <c r="E69" s="35"/>
      <c r="F69" s="35"/>
      <c r="G69" s="35"/>
    </row>
    <row r="70" spans="1:7">
      <c r="A70" s="15"/>
      <c r="B70" s="16"/>
      <c r="C70" s="17"/>
      <c r="D70" s="17"/>
      <c r="E70" s="18"/>
      <c r="F70" s="18"/>
      <c r="G70" s="16"/>
    </row>
    <row r="71" spans="1:7" ht="17.25" customHeight="1">
      <c r="A71" s="15"/>
      <c r="B71" s="16"/>
      <c r="C71" s="195"/>
      <c r="D71" s="195"/>
      <c r="E71" s="197"/>
      <c r="F71" s="197"/>
      <c r="G71" s="16"/>
    </row>
    <row r="72" spans="1:7" ht="17.25" customHeight="1">
      <c r="A72" s="15"/>
      <c r="B72" s="16"/>
      <c r="C72" s="196"/>
      <c r="D72" s="196"/>
      <c r="E72" s="196"/>
      <c r="F72" s="196"/>
      <c r="G72" s="16"/>
    </row>
    <row r="73" spans="1:7" ht="17.25" customHeight="1">
      <c r="A73" s="19"/>
      <c r="B73" s="12"/>
      <c r="C73" s="13"/>
      <c r="D73" s="45"/>
      <c r="E73" s="13"/>
      <c r="F73" s="20"/>
      <c r="G73" s="14"/>
    </row>
    <row r="74" spans="1:7" ht="17.25" customHeight="1">
      <c r="A74" s="19"/>
      <c r="B74" s="12"/>
      <c r="C74" s="13"/>
      <c r="D74" s="13"/>
      <c r="E74" s="13"/>
      <c r="F74" s="13"/>
      <c r="G74" s="14"/>
    </row>
    <row r="75" spans="1:7" ht="17.25" customHeight="1">
      <c r="A75" s="19"/>
      <c r="B75" s="12"/>
      <c r="C75" s="13"/>
      <c r="D75" s="13"/>
      <c r="E75" s="13"/>
      <c r="F75" s="13"/>
      <c r="G75" s="14"/>
    </row>
    <row r="76" spans="1:7">
      <c r="A76" s="19"/>
      <c r="B76" s="12"/>
      <c r="C76" s="13"/>
      <c r="D76" s="13"/>
      <c r="E76" s="13"/>
      <c r="F76" s="13"/>
      <c r="G76" s="14"/>
    </row>
    <row r="77" spans="1:7">
      <c r="A77" s="19"/>
      <c r="B77" s="12"/>
      <c r="C77" s="13"/>
      <c r="D77" s="13"/>
      <c r="E77" s="13"/>
      <c r="F77" s="13"/>
      <c r="G77" s="14"/>
    </row>
    <row r="78" spans="1:7">
      <c r="A78" s="19"/>
      <c r="B78" s="12"/>
      <c r="C78" s="13"/>
      <c r="D78" s="13"/>
      <c r="E78" s="13"/>
      <c r="F78" s="13"/>
      <c r="G78" s="14"/>
    </row>
    <row r="79" spans="1:7">
      <c r="A79" s="19"/>
      <c r="B79" s="12"/>
      <c r="C79" s="13"/>
      <c r="D79" s="13"/>
      <c r="E79" s="13"/>
      <c r="F79" s="13"/>
      <c r="G79" s="14"/>
    </row>
    <row r="80" spans="1:7">
      <c r="A80" s="19"/>
      <c r="B80" s="12"/>
      <c r="C80" s="13"/>
      <c r="D80" s="13"/>
      <c r="E80" s="13"/>
      <c r="F80" s="13"/>
      <c r="G80" s="14"/>
    </row>
    <row r="81" spans="1:7">
      <c r="A81" s="11"/>
      <c r="B81" s="12"/>
      <c r="C81" s="13"/>
      <c r="D81" s="13"/>
      <c r="E81" s="13"/>
      <c r="F81" s="13"/>
      <c r="G81" s="14"/>
    </row>
  </sheetData>
  <mergeCells count="78">
    <mergeCell ref="E16:G16"/>
    <mergeCell ref="E12:G12"/>
    <mergeCell ref="A13:D13"/>
    <mergeCell ref="E13:G13"/>
    <mergeCell ref="E14:G14"/>
    <mergeCell ref="E15:G15"/>
    <mergeCell ref="B14:B15"/>
    <mergeCell ref="C14:C15"/>
    <mergeCell ref="D14:D15"/>
    <mergeCell ref="A19:D19"/>
    <mergeCell ref="E19:G19"/>
    <mergeCell ref="C20:C24"/>
    <mergeCell ref="D20:D24"/>
    <mergeCell ref="E20:G20"/>
    <mergeCell ref="E21:G21"/>
    <mergeCell ref="E22:G22"/>
    <mergeCell ref="E23:G23"/>
    <mergeCell ref="E24:G24"/>
    <mergeCell ref="A25:D25"/>
    <mergeCell ref="E25:G25"/>
    <mergeCell ref="C26:C27"/>
    <mergeCell ref="D26:D27"/>
    <mergeCell ref="A28:D28"/>
    <mergeCell ref="E28:G28"/>
    <mergeCell ref="A29:D29"/>
    <mergeCell ref="E29:G29"/>
    <mergeCell ref="C30:C35"/>
    <mergeCell ref="D30:D35"/>
    <mergeCell ref="E30:G30"/>
    <mergeCell ref="E31:G31"/>
    <mergeCell ref="E32:G32"/>
    <mergeCell ref="E33:G33"/>
    <mergeCell ref="E34:G34"/>
    <mergeCell ref="E35:G35"/>
    <mergeCell ref="A36:D36"/>
    <mergeCell ref="E36:G36"/>
    <mergeCell ref="C37:C39"/>
    <mergeCell ref="D37:D39"/>
    <mergeCell ref="E37:G37"/>
    <mergeCell ref="E38:G38"/>
    <mergeCell ref="E39:G39"/>
    <mergeCell ref="A40:D40"/>
    <mergeCell ref="E40:G40"/>
    <mergeCell ref="C41:C52"/>
    <mergeCell ref="D41:D52"/>
    <mergeCell ref="E41:G41"/>
    <mergeCell ref="E42:G42"/>
    <mergeCell ref="E43:G43"/>
    <mergeCell ref="E44:G44"/>
    <mergeCell ref="E45:G45"/>
    <mergeCell ref="E46:G46"/>
    <mergeCell ref="E63:G63"/>
    <mergeCell ref="C64:C66"/>
    <mergeCell ref="D64:D66"/>
    <mergeCell ref="E67:G67"/>
    <mergeCell ref="A53:D53"/>
    <mergeCell ref="E53:G53"/>
    <mergeCell ref="C54:C59"/>
    <mergeCell ref="D54:D59"/>
    <mergeCell ref="E54:G54"/>
    <mergeCell ref="E55:G55"/>
    <mergeCell ref="E56:G56"/>
    <mergeCell ref="E57:G57"/>
    <mergeCell ref="E58:G58"/>
    <mergeCell ref="E59:G59"/>
    <mergeCell ref="A60:D60"/>
    <mergeCell ref="E60:G60"/>
    <mergeCell ref="A61:A62"/>
    <mergeCell ref="B61:B62"/>
    <mergeCell ref="C61:C62"/>
    <mergeCell ref="D61:D62"/>
    <mergeCell ref="E61:G61"/>
    <mergeCell ref="E62:G62"/>
    <mergeCell ref="E68:G68"/>
    <mergeCell ref="C71:C72"/>
    <mergeCell ref="D71:D72"/>
    <mergeCell ref="E71:E72"/>
    <mergeCell ref="F71:F7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G80"/>
  <sheetViews>
    <sheetView topLeftCell="A55" workbookViewId="0">
      <selection activeCell="E67" sqref="E67:G67"/>
    </sheetView>
  </sheetViews>
  <sheetFormatPr defaultRowHeight="15"/>
  <cols>
    <col min="1" max="1" width="88" customWidth="1"/>
    <col min="2" max="2" width="12.5703125" customWidth="1"/>
    <col min="3" max="3" width="11.28515625" customWidth="1"/>
    <col min="4" max="4" width="11.7109375" customWidth="1"/>
  </cols>
  <sheetData>
    <row r="1" spans="1:7">
      <c r="A1" s="1" t="s">
        <v>0</v>
      </c>
      <c r="B1" s="2"/>
      <c r="C1" s="2"/>
      <c r="D1" s="2" t="s">
        <v>63</v>
      </c>
      <c r="E1" s="2"/>
      <c r="F1" s="2"/>
      <c r="G1" s="2"/>
    </row>
    <row r="2" spans="1:7">
      <c r="A2" s="1" t="s">
        <v>106</v>
      </c>
      <c r="B2" s="2"/>
      <c r="C2" s="2"/>
      <c r="D2" s="2"/>
      <c r="E2" s="2"/>
      <c r="F2" s="2"/>
      <c r="G2" s="2"/>
    </row>
    <row r="3" spans="1:7">
      <c r="A3" s="1" t="s">
        <v>241</v>
      </c>
      <c r="B3" s="2"/>
      <c r="C3" s="2"/>
      <c r="D3" s="2"/>
      <c r="E3" s="2"/>
      <c r="F3" s="2"/>
      <c r="G3" s="2"/>
    </row>
    <row r="4" spans="1:7">
      <c r="A4" s="3"/>
      <c r="B4" s="2"/>
      <c r="C4" s="2"/>
      <c r="D4" s="2"/>
      <c r="E4" s="2"/>
      <c r="F4" s="2"/>
      <c r="G4" s="2"/>
    </row>
    <row r="5" spans="1:7">
      <c r="A5" s="25" t="s">
        <v>58</v>
      </c>
      <c r="B5" s="2">
        <v>1967</v>
      </c>
      <c r="C5" s="2"/>
      <c r="D5" s="2"/>
      <c r="E5" s="2"/>
      <c r="F5" s="2"/>
      <c r="G5" s="2"/>
    </row>
    <row r="6" spans="1:7">
      <c r="A6" s="25" t="s">
        <v>59</v>
      </c>
      <c r="B6" s="2">
        <v>5</v>
      </c>
      <c r="C6" s="2"/>
      <c r="D6" s="2"/>
      <c r="E6" s="2"/>
      <c r="F6" s="2"/>
      <c r="G6" s="2"/>
    </row>
    <row r="7" spans="1:7">
      <c r="A7" s="25" t="s">
        <v>60</v>
      </c>
      <c r="B7" s="2">
        <v>4</v>
      </c>
      <c r="C7" s="2"/>
      <c r="D7" s="2"/>
      <c r="E7" s="2"/>
      <c r="F7" s="2"/>
      <c r="G7" s="2"/>
    </row>
    <row r="8" spans="1:7">
      <c r="A8" s="25" t="s">
        <v>61</v>
      </c>
      <c r="B8" s="2">
        <v>80</v>
      </c>
      <c r="C8" s="2"/>
      <c r="D8" s="2"/>
      <c r="E8" s="2"/>
      <c r="F8" s="2"/>
      <c r="G8" s="2"/>
    </row>
    <row r="9" spans="1:7">
      <c r="A9" s="25" t="s">
        <v>72</v>
      </c>
      <c r="B9" s="2">
        <v>3901.6</v>
      </c>
      <c r="C9" s="2"/>
      <c r="D9" s="2"/>
      <c r="E9" s="2"/>
      <c r="F9" s="2"/>
      <c r="G9" s="2"/>
    </row>
    <row r="10" spans="1:7">
      <c r="A10" s="25" t="s">
        <v>62</v>
      </c>
      <c r="B10" s="2">
        <v>296</v>
      </c>
      <c r="C10" s="2"/>
      <c r="D10" s="2"/>
      <c r="E10" s="2"/>
      <c r="F10" s="2"/>
      <c r="G10" s="2"/>
    </row>
    <row r="11" spans="1:7">
      <c r="A11" s="25" t="s">
        <v>73</v>
      </c>
      <c r="B11" s="2">
        <v>789.8</v>
      </c>
      <c r="C11" s="2"/>
      <c r="D11" s="2"/>
      <c r="E11" s="2"/>
      <c r="F11" s="2"/>
      <c r="G11" s="2"/>
    </row>
    <row r="12" spans="1:7" ht="45.75" customHeight="1">
      <c r="A12" s="38" t="s">
        <v>1</v>
      </c>
      <c r="B12" s="38" t="s">
        <v>2</v>
      </c>
      <c r="C12" s="38" t="s">
        <v>3</v>
      </c>
      <c r="D12" s="38" t="s">
        <v>4</v>
      </c>
      <c r="E12" s="186"/>
      <c r="F12" s="186"/>
      <c r="G12" s="186"/>
    </row>
    <row r="13" spans="1:7">
      <c r="A13" s="188" t="s">
        <v>5</v>
      </c>
      <c r="B13" s="189"/>
      <c r="C13" s="189"/>
      <c r="D13" s="190"/>
      <c r="E13" s="186"/>
      <c r="F13" s="186"/>
      <c r="G13" s="186"/>
    </row>
    <row r="14" spans="1:7" ht="87" customHeight="1">
      <c r="A14" s="104" t="s">
        <v>6</v>
      </c>
      <c r="B14" s="160" t="s">
        <v>8</v>
      </c>
      <c r="C14" s="153">
        <v>1.64</v>
      </c>
      <c r="D14" s="163">
        <f>C14*12*B9</f>
        <v>76783.487999999998</v>
      </c>
      <c r="E14" s="186"/>
      <c r="F14" s="186"/>
      <c r="G14" s="186"/>
    </row>
    <row r="15" spans="1:7" ht="73.5" customHeight="1">
      <c r="A15" s="103" t="s">
        <v>89</v>
      </c>
      <c r="B15" s="161"/>
      <c r="C15" s="162"/>
      <c r="D15" s="164"/>
      <c r="E15" s="186"/>
      <c r="F15" s="187"/>
      <c r="G15" s="187"/>
    </row>
    <row r="16" spans="1:7">
      <c r="A16" s="6" t="s">
        <v>9</v>
      </c>
      <c r="B16" s="38"/>
      <c r="C16" s="26"/>
      <c r="D16" s="26"/>
      <c r="E16" s="186"/>
      <c r="F16" s="187"/>
      <c r="G16" s="187"/>
    </row>
    <row r="17" spans="1:7">
      <c r="A17" s="6" t="s">
        <v>328</v>
      </c>
      <c r="B17" s="128" t="s">
        <v>117</v>
      </c>
      <c r="C17" s="44">
        <v>1.86</v>
      </c>
      <c r="D17" s="26">
        <f>C17*12*B9</f>
        <v>87083.712</v>
      </c>
      <c r="E17" s="34"/>
      <c r="F17" s="35"/>
      <c r="G17" s="35"/>
    </row>
    <row r="18" spans="1:7" ht="12" customHeight="1">
      <c r="A18" s="165" t="s">
        <v>10</v>
      </c>
      <c r="B18" s="165"/>
      <c r="C18" s="165"/>
      <c r="D18" s="165"/>
      <c r="E18" s="186"/>
      <c r="F18" s="187"/>
      <c r="G18" s="187"/>
    </row>
    <row r="19" spans="1:7" ht="11.25" customHeight="1">
      <c r="A19" s="6" t="s">
        <v>11</v>
      </c>
      <c r="B19" s="38" t="s">
        <v>75</v>
      </c>
      <c r="C19" s="152">
        <v>2.16</v>
      </c>
      <c r="D19" s="152">
        <f>C19*12*B9</f>
        <v>101129.47200000001</v>
      </c>
      <c r="E19" s="186"/>
      <c r="F19" s="187"/>
      <c r="G19" s="187"/>
    </row>
    <row r="20" spans="1:7" ht="13.5" customHeight="1">
      <c r="A20" s="6" t="s">
        <v>12</v>
      </c>
      <c r="B20" s="38" t="s">
        <v>75</v>
      </c>
      <c r="C20" s="152"/>
      <c r="D20" s="152"/>
      <c r="E20" s="186"/>
      <c r="F20" s="187"/>
      <c r="G20" s="187"/>
    </row>
    <row r="21" spans="1:7" ht="12.75" customHeight="1">
      <c r="A21" s="6" t="s">
        <v>13</v>
      </c>
      <c r="B21" s="38" t="s">
        <v>75</v>
      </c>
      <c r="C21" s="152"/>
      <c r="D21" s="152"/>
      <c r="E21" s="186"/>
      <c r="F21" s="187"/>
      <c r="G21" s="187"/>
    </row>
    <row r="22" spans="1:7" ht="12" customHeight="1">
      <c r="A22" s="6" t="s">
        <v>14</v>
      </c>
      <c r="B22" s="38" t="s">
        <v>76</v>
      </c>
      <c r="C22" s="152"/>
      <c r="D22" s="152"/>
      <c r="E22" s="186"/>
      <c r="F22" s="187"/>
      <c r="G22" s="187"/>
    </row>
    <row r="23" spans="1:7" ht="24" customHeight="1">
      <c r="A23" s="6" t="s">
        <v>15</v>
      </c>
      <c r="B23" s="38" t="s">
        <v>94</v>
      </c>
      <c r="C23" s="152"/>
      <c r="D23" s="152"/>
      <c r="E23" s="186"/>
      <c r="F23" s="187"/>
      <c r="G23" s="187"/>
    </row>
    <row r="24" spans="1:7" ht="12" customHeight="1">
      <c r="A24" s="165" t="s">
        <v>16</v>
      </c>
      <c r="B24" s="165"/>
      <c r="C24" s="165"/>
      <c r="D24" s="165"/>
      <c r="E24" s="186"/>
      <c r="F24" s="187"/>
      <c r="G24" s="187"/>
    </row>
    <row r="25" spans="1:7" ht="12" customHeight="1">
      <c r="A25" s="7" t="s">
        <v>17</v>
      </c>
      <c r="B25" s="21" t="s">
        <v>78</v>
      </c>
      <c r="C25" s="152">
        <v>0.2</v>
      </c>
      <c r="D25" s="167">
        <f>C25*12*B9</f>
        <v>9363.840000000002</v>
      </c>
    </row>
    <row r="26" spans="1:7" ht="12" customHeight="1">
      <c r="A26" s="7" t="s">
        <v>18</v>
      </c>
      <c r="B26" s="21" t="s">
        <v>77</v>
      </c>
      <c r="C26" s="152"/>
      <c r="D26" s="167"/>
    </row>
    <row r="27" spans="1:7" ht="12" customHeight="1">
      <c r="A27" s="165" t="s">
        <v>19</v>
      </c>
      <c r="B27" s="165"/>
      <c r="C27" s="165"/>
      <c r="D27" s="165"/>
      <c r="E27" s="186"/>
      <c r="F27" s="187"/>
      <c r="G27" s="187"/>
    </row>
    <row r="28" spans="1:7" ht="12" customHeight="1">
      <c r="A28" s="167" t="s">
        <v>20</v>
      </c>
      <c r="B28" s="167"/>
      <c r="C28" s="167"/>
      <c r="D28" s="167"/>
      <c r="E28" s="186"/>
      <c r="F28" s="187"/>
      <c r="G28" s="187"/>
    </row>
    <row r="29" spans="1:7" ht="41.25" customHeight="1">
      <c r="A29" s="8" t="s">
        <v>21</v>
      </c>
      <c r="B29" s="22" t="s">
        <v>79</v>
      </c>
      <c r="C29" s="152">
        <v>0.66</v>
      </c>
      <c r="D29" s="152">
        <f>C29*12*B9</f>
        <v>30900.671999999999</v>
      </c>
      <c r="E29" s="186"/>
      <c r="F29" s="187"/>
      <c r="G29" s="187"/>
    </row>
    <row r="30" spans="1:7" ht="14.25" customHeight="1">
      <c r="A30" s="9" t="s">
        <v>23</v>
      </c>
      <c r="B30" s="23" t="s">
        <v>80</v>
      </c>
      <c r="C30" s="152"/>
      <c r="D30" s="152"/>
      <c r="E30" s="186"/>
      <c r="F30" s="187"/>
      <c r="G30" s="187"/>
    </row>
    <row r="31" spans="1:7" ht="12" customHeight="1">
      <c r="A31" s="9" t="s">
        <v>25</v>
      </c>
      <c r="B31" s="23" t="s">
        <v>80</v>
      </c>
      <c r="C31" s="152"/>
      <c r="D31" s="152"/>
      <c r="E31" s="186"/>
      <c r="F31" s="187"/>
      <c r="G31" s="187"/>
    </row>
    <row r="32" spans="1:7" ht="42.75" customHeight="1">
      <c r="A32" s="9" t="s">
        <v>26</v>
      </c>
      <c r="B32" s="22" t="s">
        <v>79</v>
      </c>
      <c r="C32" s="152"/>
      <c r="D32" s="152"/>
      <c r="E32" s="186"/>
      <c r="F32" s="187"/>
      <c r="G32" s="187"/>
    </row>
    <row r="33" spans="1:7" ht="12" customHeight="1">
      <c r="A33" s="9" t="s">
        <v>27</v>
      </c>
      <c r="B33" s="22" t="s">
        <v>24</v>
      </c>
      <c r="C33" s="152"/>
      <c r="D33" s="152"/>
      <c r="E33" s="186"/>
      <c r="F33" s="187"/>
      <c r="G33" s="187"/>
    </row>
    <row r="34" spans="1:7" ht="42" customHeight="1">
      <c r="A34" s="10" t="s">
        <v>28</v>
      </c>
      <c r="B34" s="22" t="s">
        <v>79</v>
      </c>
      <c r="C34" s="152"/>
      <c r="D34" s="152"/>
      <c r="E34" s="186"/>
      <c r="F34" s="187"/>
      <c r="G34" s="187"/>
    </row>
    <row r="35" spans="1:7" ht="12" customHeight="1">
      <c r="A35" s="167" t="s">
        <v>29</v>
      </c>
      <c r="B35" s="167"/>
      <c r="C35" s="167"/>
      <c r="D35" s="167"/>
      <c r="E35" s="186"/>
      <c r="F35" s="187"/>
      <c r="G35" s="187"/>
    </row>
    <row r="36" spans="1:7" ht="39" customHeight="1">
      <c r="A36" s="9" t="s">
        <v>30</v>
      </c>
      <c r="B36" s="22" t="s">
        <v>79</v>
      </c>
      <c r="C36" s="152">
        <f>0.76+0.91</f>
        <v>1.67</v>
      </c>
      <c r="D36" s="152">
        <f>C36*12*B9</f>
        <v>78188.063999999998</v>
      </c>
      <c r="E36" s="186"/>
      <c r="F36" s="187"/>
      <c r="G36" s="187"/>
    </row>
    <row r="37" spans="1:7" ht="34.5" customHeight="1">
      <c r="A37" s="9" t="s">
        <v>31</v>
      </c>
      <c r="B37" s="22" t="s">
        <v>79</v>
      </c>
      <c r="C37" s="152"/>
      <c r="D37" s="152"/>
      <c r="E37" s="186"/>
      <c r="F37" s="187"/>
      <c r="G37" s="187"/>
    </row>
    <row r="38" spans="1:7" ht="38.25" customHeight="1">
      <c r="A38" s="10" t="s">
        <v>32</v>
      </c>
      <c r="B38" s="22" t="s">
        <v>79</v>
      </c>
      <c r="C38" s="152"/>
      <c r="D38" s="152"/>
      <c r="E38" s="186"/>
      <c r="F38" s="187"/>
      <c r="G38" s="187"/>
    </row>
    <row r="39" spans="1:7" ht="12" customHeight="1">
      <c r="A39" s="167" t="s">
        <v>33</v>
      </c>
      <c r="B39" s="167"/>
      <c r="C39" s="167"/>
      <c r="D39" s="167"/>
      <c r="E39" s="186"/>
      <c r="F39" s="187"/>
      <c r="G39" s="187"/>
    </row>
    <row r="40" spans="1:7" ht="26.25" customHeight="1">
      <c r="A40" s="9" t="s">
        <v>34</v>
      </c>
      <c r="B40" s="22" t="s">
        <v>109</v>
      </c>
      <c r="C40" s="152">
        <v>3.19</v>
      </c>
      <c r="D40" s="152">
        <f>C40*12*B9</f>
        <v>149353.24799999999</v>
      </c>
      <c r="E40" s="186"/>
      <c r="F40" s="187"/>
      <c r="G40" s="187"/>
    </row>
    <row r="41" spans="1:7" ht="15" customHeight="1">
      <c r="A41" s="9" t="s">
        <v>35</v>
      </c>
      <c r="B41" s="22" t="s">
        <v>110</v>
      </c>
      <c r="C41" s="152"/>
      <c r="D41" s="152"/>
      <c r="E41" s="186"/>
      <c r="F41" s="187"/>
      <c r="G41" s="187"/>
    </row>
    <row r="42" spans="1:7" ht="14.25" customHeight="1">
      <c r="A42" s="9" t="s">
        <v>36</v>
      </c>
      <c r="B42" s="22" t="s">
        <v>84</v>
      </c>
      <c r="C42" s="152"/>
      <c r="D42" s="152"/>
      <c r="E42" s="186"/>
      <c r="F42" s="187"/>
      <c r="G42" s="187"/>
    </row>
    <row r="43" spans="1:7" ht="33" customHeight="1">
      <c r="A43" s="9" t="s">
        <v>37</v>
      </c>
      <c r="B43" s="22" t="s">
        <v>82</v>
      </c>
      <c r="C43" s="152"/>
      <c r="D43" s="152"/>
      <c r="E43" s="186"/>
      <c r="F43" s="187"/>
      <c r="G43" s="187"/>
    </row>
    <row r="44" spans="1:7" ht="27" customHeight="1">
      <c r="A44" s="9" t="s">
        <v>38</v>
      </c>
      <c r="B44" s="22" t="s">
        <v>82</v>
      </c>
      <c r="C44" s="152"/>
      <c r="D44" s="152"/>
      <c r="E44" s="186"/>
      <c r="F44" s="187"/>
      <c r="G44" s="187"/>
    </row>
    <row r="45" spans="1:7" ht="13.5" customHeight="1">
      <c r="A45" s="37" t="s">
        <v>39</v>
      </c>
      <c r="B45" s="6"/>
      <c r="C45" s="152"/>
      <c r="D45" s="152"/>
      <c r="E45" s="186"/>
      <c r="F45" s="187"/>
      <c r="G45" s="187"/>
    </row>
    <row r="46" spans="1:7" ht="42" customHeight="1">
      <c r="A46" s="9" t="s">
        <v>40</v>
      </c>
      <c r="B46" s="22" t="s">
        <v>79</v>
      </c>
      <c r="C46" s="152"/>
      <c r="D46" s="152"/>
      <c r="E46" s="4"/>
      <c r="F46" s="4"/>
      <c r="G46" s="4"/>
    </row>
    <row r="47" spans="1:7" ht="14.25" customHeight="1">
      <c r="A47" s="9" t="s">
        <v>41</v>
      </c>
      <c r="B47" s="22" t="s">
        <v>24</v>
      </c>
      <c r="C47" s="152"/>
      <c r="D47" s="152"/>
      <c r="E47" s="4"/>
      <c r="F47" s="4"/>
      <c r="G47" s="4"/>
    </row>
    <row r="48" spans="1:7" ht="15" customHeight="1">
      <c r="A48" s="9" t="s">
        <v>42</v>
      </c>
      <c r="B48" s="23" t="s">
        <v>24</v>
      </c>
      <c r="C48" s="152"/>
      <c r="D48" s="152"/>
      <c r="E48" s="4"/>
      <c r="F48" s="4"/>
      <c r="G48" s="4"/>
    </row>
    <row r="49" spans="1:7" ht="15.75" customHeight="1">
      <c r="A49" s="9" t="s">
        <v>43</v>
      </c>
      <c r="B49" s="23" t="s">
        <v>24</v>
      </c>
      <c r="C49" s="152"/>
      <c r="D49" s="152"/>
      <c r="E49" s="4"/>
      <c r="F49" s="4"/>
      <c r="G49" s="4"/>
    </row>
    <row r="50" spans="1:7" ht="18.75" customHeight="1">
      <c r="A50" s="9" t="s">
        <v>44</v>
      </c>
      <c r="B50" s="21" t="s">
        <v>111</v>
      </c>
      <c r="C50" s="152"/>
      <c r="D50" s="152"/>
      <c r="E50" s="5"/>
      <c r="F50" s="4"/>
      <c r="G50" s="4"/>
    </row>
    <row r="51" spans="1:7" ht="42" customHeight="1">
      <c r="A51" s="10" t="s">
        <v>45</v>
      </c>
      <c r="B51" s="22" t="s">
        <v>79</v>
      </c>
      <c r="C51" s="152"/>
      <c r="D51" s="152"/>
      <c r="E51" s="5"/>
      <c r="F51" s="4"/>
      <c r="G51" s="4"/>
    </row>
    <row r="52" spans="1:7" ht="12" customHeight="1">
      <c r="A52" s="167" t="s">
        <v>46</v>
      </c>
      <c r="B52" s="167"/>
      <c r="C52" s="167"/>
      <c r="D52" s="167"/>
      <c r="E52" s="186"/>
      <c r="F52" s="186"/>
      <c r="G52" s="186"/>
    </row>
    <row r="53" spans="1:7" ht="12" customHeight="1">
      <c r="A53" s="9" t="s">
        <v>47</v>
      </c>
      <c r="B53" s="22" t="s">
        <v>83</v>
      </c>
      <c r="C53" s="152">
        <v>1.47</v>
      </c>
      <c r="D53" s="152">
        <f>C53*12*B9-105712.39</f>
        <v>-36888.165999999997</v>
      </c>
      <c r="E53" s="186"/>
      <c r="F53" s="187"/>
      <c r="G53" s="187"/>
    </row>
    <row r="54" spans="1:7" ht="15" customHeight="1">
      <c r="A54" s="9" t="s">
        <v>48</v>
      </c>
      <c r="B54" s="22" t="s">
        <v>83</v>
      </c>
      <c r="C54" s="152"/>
      <c r="D54" s="152"/>
      <c r="E54" s="186"/>
      <c r="F54" s="187"/>
      <c r="G54" s="187"/>
    </row>
    <row r="55" spans="1:7" ht="28.5" customHeight="1">
      <c r="A55" s="9" t="s">
        <v>49</v>
      </c>
      <c r="B55" s="22" t="s">
        <v>84</v>
      </c>
      <c r="C55" s="152"/>
      <c r="D55" s="152"/>
      <c r="E55" s="186"/>
      <c r="F55" s="187"/>
      <c r="G55" s="187"/>
    </row>
    <row r="56" spans="1:7" ht="12" customHeight="1">
      <c r="A56" s="9" t="s">
        <v>50</v>
      </c>
      <c r="B56" s="22" t="s">
        <v>104</v>
      </c>
      <c r="C56" s="152"/>
      <c r="D56" s="152"/>
      <c r="E56" s="186"/>
      <c r="F56" s="187"/>
      <c r="G56" s="187"/>
    </row>
    <row r="57" spans="1:7" ht="36.75" customHeight="1">
      <c r="A57" s="10" t="s">
        <v>51</v>
      </c>
      <c r="B57" s="22" t="s">
        <v>79</v>
      </c>
      <c r="C57" s="152"/>
      <c r="D57" s="152"/>
      <c r="E57" s="186"/>
      <c r="F57" s="187"/>
      <c r="G57" s="187"/>
    </row>
    <row r="58" spans="1:7" ht="13.5" customHeight="1">
      <c r="A58" s="10" t="s">
        <v>52</v>
      </c>
      <c r="B58" s="23" t="s">
        <v>84</v>
      </c>
      <c r="C58" s="152"/>
      <c r="D58" s="152"/>
      <c r="E58" s="186"/>
      <c r="F58" s="187"/>
      <c r="G58" s="187"/>
    </row>
    <row r="59" spans="1:7" ht="15" customHeight="1">
      <c r="A59" s="165" t="s">
        <v>53</v>
      </c>
      <c r="B59" s="165"/>
      <c r="C59" s="165"/>
      <c r="D59" s="165"/>
      <c r="E59" s="186"/>
      <c r="F59" s="187"/>
      <c r="G59" s="187"/>
    </row>
    <row r="60" spans="1:7" ht="34.5" customHeight="1">
      <c r="A60" s="160" t="s">
        <v>54</v>
      </c>
      <c r="B60" s="177" t="s">
        <v>86</v>
      </c>
      <c r="C60" s="152">
        <v>2.41</v>
      </c>
      <c r="D60" s="152">
        <f>C60*12*B9</f>
        <v>112834.272</v>
      </c>
      <c r="E60" s="186"/>
      <c r="F60" s="187"/>
      <c r="G60" s="187"/>
    </row>
    <row r="61" spans="1:7" ht="15" customHeight="1">
      <c r="A61" s="161"/>
      <c r="B61" s="177"/>
      <c r="C61" s="152"/>
      <c r="D61" s="152"/>
      <c r="E61" s="186"/>
      <c r="F61" s="187"/>
      <c r="G61" s="187"/>
    </row>
    <row r="62" spans="1:7" ht="12.75" customHeight="1">
      <c r="A62" s="37" t="s">
        <v>55</v>
      </c>
      <c r="B62" s="21"/>
      <c r="C62" s="36"/>
      <c r="D62" s="36"/>
      <c r="E62" s="186"/>
      <c r="F62" s="187"/>
      <c r="G62" s="187"/>
    </row>
    <row r="63" spans="1:7" ht="16.5" customHeight="1">
      <c r="A63" s="6" t="s">
        <v>90</v>
      </c>
      <c r="B63" s="21" t="s">
        <v>87</v>
      </c>
      <c r="C63" s="170">
        <v>2.14</v>
      </c>
      <c r="D63" s="172">
        <f>C63*12*B9</f>
        <v>100193.088</v>
      </c>
    </row>
    <row r="64" spans="1:7">
      <c r="A64" s="6" t="s">
        <v>91</v>
      </c>
      <c r="B64" s="21" t="s">
        <v>87</v>
      </c>
      <c r="C64" s="171"/>
      <c r="D64" s="173"/>
    </row>
    <row r="65" spans="1:7" ht="15" customHeight="1">
      <c r="A65" s="6" t="s">
        <v>92</v>
      </c>
      <c r="B65" s="21" t="s">
        <v>87</v>
      </c>
      <c r="C65" s="169"/>
      <c r="D65" s="174"/>
    </row>
    <row r="66" spans="1:7" ht="39" customHeight="1">
      <c r="A66" s="6" t="s">
        <v>143</v>
      </c>
      <c r="B66" s="22" t="s">
        <v>79</v>
      </c>
      <c r="C66" s="36">
        <v>4.22</v>
      </c>
      <c r="D66" s="36">
        <f>C66*12*B9</f>
        <v>197577.024</v>
      </c>
      <c r="E66" s="186"/>
      <c r="F66" s="187"/>
      <c r="G66" s="187"/>
    </row>
    <row r="67" spans="1:7" ht="12" customHeight="1">
      <c r="A67" s="37" t="s">
        <v>56</v>
      </c>
      <c r="B67" s="23"/>
      <c r="C67" s="28">
        <f>C66+C63+C60+C53+C40+C36+C29+C25+C19+C17+C14</f>
        <v>21.619999999999997</v>
      </c>
      <c r="D67" s="28">
        <f>D66+D63+D60+D53+D40+D36+D29+D25+D19+D17+D14</f>
        <v>906518.71400000004</v>
      </c>
      <c r="E67" s="186"/>
      <c r="F67" s="187"/>
      <c r="G67" s="187"/>
    </row>
    <row r="68" spans="1:7">
      <c r="A68" s="35"/>
      <c r="B68" s="35"/>
      <c r="C68" s="35"/>
      <c r="D68" s="35"/>
      <c r="E68" s="35"/>
      <c r="F68" s="35"/>
      <c r="G68" s="35"/>
    </row>
    <row r="69" spans="1:7">
      <c r="A69" s="15"/>
      <c r="B69" s="16"/>
      <c r="C69" s="17"/>
      <c r="D69" s="17"/>
      <c r="E69" s="18"/>
      <c r="F69" s="18"/>
      <c r="G69" s="16"/>
    </row>
    <row r="70" spans="1:7" ht="17.25" customHeight="1">
      <c r="A70" s="15"/>
      <c r="B70" s="16"/>
      <c r="C70" s="197"/>
      <c r="D70" s="195"/>
      <c r="E70" s="197"/>
      <c r="F70" s="197"/>
      <c r="G70" s="16"/>
    </row>
    <row r="71" spans="1:7" ht="17.25" customHeight="1">
      <c r="A71" s="15"/>
      <c r="B71" s="16"/>
      <c r="C71" s="196"/>
      <c r="D71" s="196"/>
      <c r="E71" s="196"/>
      <c r="F71" s="196"/>
      <c r="G71" s="16"/>
    </row>
    <row r="72" spans="1:7" ht="17.25" customHeight="1">
      <c r="A72" s="19"/>
      <c r="B72" s="12"/>
      <c r="C72" s="13"/>
      <c r="D72" s="45"/>
      <c r="E72" s="13"/>
      <c r="F72" s="20"/>
      <c r="G72" s="14"/>
    </row>
    <row r="73" spans="1:7" ht="17.25" customHeight="1">
      <c r="A73" s="19"/>
      <c r="B73" s="12"/>
      <c r="C73" s="13"/>
      <c r="D73" s="45"/>
      <c r="E73" s="13"/>
      <c r="F73" s="13"/>
      <c r="G73" s="14"/>
    </row>
    <row r="74" spans="1:7" ht="17.25" customHeight="1">
      <c r="A74" s="19"/>
      <c r="B74" s="12"/>
      <c r="C74" s="13"/>
      <c r="D74" s="45"/>
      <c r="E74" s="13"/>
      <c r="F74" s="13"/>
      <c r="G74" s="14"/>
    </row>
    <row r="75" spans="1:7">
      <c r="A75" s="19"/>
      <c r="B75" s="12"/>
      <c r="C75" s="13"/>
      <c r="D75" s="13"/>
      <c r="E75" s="13"/>
      <c r="F75" s="13"/>
      <c r="G75" s="14"/>
    </row>
    <row r="76" spans="1:7">
      <c r="A76" s="19"/>
      <c r="B76" s="12"/>
      <c r="C76" s="13"/>
      <c r="D76" s="13"/>
      <c r="E76" s="13"/>
      <c r="F76" s="13"/>
      <c r="G76" s="14"/>
    </row>
    <row r="77" spans="1:7">
      <c r="A77" s="19"/>
      <c r="B77" s="12"/>
      <c r="C77" s="13"/>
      <c r="D77" s="13"/>
      <c r="E77" s="13"/>
      <c r="F77" s="13"/>
      <c r="G77" s="14"/>
    </row>
    <row r="78" spans="1:7">
      <c r="A78" s="19"/>
      <c r="B78" s="12"/>
      <c r="C78" s="13"/>
      <c r="D78" s="13"/>
      <c r="E78" s="13"/>
      <c r="F78" s="13"/>
      <c r="G78" s="14"/>
    </row>
    <row r="79" spans="1:7">
      <c r="A79" s="19"/>
      <c r="B79" s="12"/>
      <c r="C79" s="13"/>
      <c r="D79" s="13"/>
      <c r="E79" s="13"/>
      <c r="F79" s="13"/>
      <c r="G79" s="14"/>
    </row>
    <row r="80" spans="1:7">
      <c r="A80" s="11"/>
      <c r="B80" s="12"/>
      <c r="C80" s="13"/>
      <c r="D80" s="13"/>
      <c r="E80" s="13"/>
      <c r="F80" s="13"/>
      <c r="G80" s="14"/>
    </row>
  </sheetData>
  <mergeCells count="78">
    <mergeCell ref="E16:G16"/>
    <mergeCell ref="E12:G12"/>
    <mergeCell ref="A13:D13"/>
    <mergeCell ref="E13:G13"/>
    <mergeCell ref="E14:G14"/>
    <mergeCell ref="E15:G15"/>
    <mergeCell ref="B14:B15"/>
    <mergeCell ref="C14:C15"/>
    <mergeCell ref="D14:D15"/>
    <mergeCell ref="A24:D24"/>
    <mergeCell ref="E24:G24"/>
    <mergeCell ref="C25:C26"/>
    <mergeCell ref="D25:D26"/>
    <mergeCell ref="A18:D18"/>
    <mergeCell ref="E18:G18"/>
    <mergeCell ref="C19:C23"/>
    <mergeCell ref="D19:D23"/>
    <mergeCell ref="E19:G19"/>
    <mergeCell ref="E20:G20"/>
    <mergeCell ref="E21:G21"/>
    <mergeCell ref="E22:G22"/>
    <mergeCell ref="E23:G23"/>
    <mergeCell ref="A27:D27"/>
    <mergeCell ref="E27:G27"/>
    <mergeCell ref="A28:D28"/>
    <mergeCell ref="E28:G28"/>
    <mergeCell ref="C29:C34"/>
    <mergeCell ref="D29:D34"/>
    <mergeCell ref="E29:G29"/>
    <mergeCell ref="E30:G30"/>
    <mergeCell ref="E31:G31"/>
    <mergeCell ref="E32:G32"/>
    <mergeCell ref="E33:G33"/>
    <mergeCell ref="E34:G34"/>
    <mergeCell ref="A35:D35"/>
    <mergeCell ref="E35:G35"/>
    <mergeCell ref="C36:C38"/>
    <mergeCell ref="D36:D38"/>
    <mergeCell ref="E36:G36"/>
    <mergeCell ref="E37:G37"/>
    <mergeCell ref="E38:G38"/>
    <mergeCell ref="A39:D39"/>
    <mergeCell ref="E39:G39"/>
    <mergeCell ref="C40:C51"/>
    <mergeCell ref="D40:D51"/>
    <mergeCell ref="E40:G40"/>
    <mergeCell ref="E41:G41"/>
    <mergeCell ref="E42:G42"/>
    <mergeCell ref="E43:G43"/>
    <mergeCell ref="E44:G44"/>
    <mergeCell ref="E45:G45"/>
    <mergeCell ref="A52:D52"/>
    <mergeCell ref="E52:G52"/>
    <mergeCell ref="C53:C58"/>
    <mergeCell ref="D53:D58"/>
    <mergeCell ref="E53:G53"/>
    <mergeCell ref="E54:G54"/>
    <mergeCell ref="E55:G55"/>
    <mergeCell ref="E56:G56"/>
    <mergeCell ref="E57:G57"/>
    <mergeCell ref="E58:G58"/>
    <mergeCell ref="A59:D59"/>
    <mergeCell ref="E59:G59"/>
    <mergeCell ref="B60:B61"/>
    <mergeCell ref="C60:C61"/>
    <mergeCell ref="D60:D61"/>
    <mergeCell ref="E60:G60"/>
    <mergeCell ref="E61:G61"/>
    <mergeCell ref="A60:A61"/>
    <mergeCell ref="E62:G62"/>
    <mergeCell ref="E66:G66"/>
    <mergeCell ref="E67:G67"/>
    <mergeCell ref="C70:C71"/>
    <mergeCell ref="D70:D71"/>
    <mergeCell ref="E70:E71"/>
    <mergeCell ref="F70:F71"/>
    <mergeCell ref="C63:C65"/>
    <mergeCell ref="D63:D6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E81"/>
  <sheetViews>
    <sheetView tabSelected="1" topLeftCell="A61" workbookViewId="0">
      <selection activeCell="G12" sqref="G12"/>
    </sheetView>
  </sheetViews>
  <sheetFormatPr defaultRowHeight="15"/>
  <cols>
    <col min="1" max="1" width="91.7109375" customWidth="1"/>
    <col min="2" max="2" width="13" customWidth="1"/>
    <col min="3" max="3" width="10" style="96" customWidth="1"/>
    <col min="4" max="4" width="12" style="96" customWidth="1"/>
  </cols>
  <sheetData>
    <row r="1" spans="1:5">
      <c r="A1" s="1" t="s">
        <v>0</v>
      </c>
      <c r="B1" s="2"/>
      <c r="C1" s="41"/>
      <c r="D1" s="41" t="s">
        <v>64</v>
      </c>
    </row>
    <row r="2" spans="1:5">
      <c r="A2" s="1" t="s">
        <v>102</v>
      </c>
      <c r="B2" s="2"/>
      <c r="C2" s="41"/>
      <c r="D2" s="41"/>
    </row>
    <row r="3" spans="1:5">
      <c r="A3" s="1" t="s">
        <v>282</v>
      </c>
      <c r="B3" s="2"/>
      <c r="C3" s="41"/>
      <c r="D3" s="41"/>
      <c r="E3" s="116"/>
    </row>
    <row r="4" spans="1:5">
      <c r="A4" s="25" t="s">
        <v>58</v>
      </c>
      <c r="B4" s="2">
        <v>1971</v>
      </c>
      <c r="C4" s="41"/>
      <c r="D4" s="41"/>
    </row>
    <row r="5" spans="1:5">
      <c r="A5" s="25" t="s">
        <v>59</v>
      </c>
      <c r="B5" s="2">
        <v>5</v>
      </c>
      <c r="C5" s="41"/>
      <c r="D5" s="41"/>
    </row>
    <row r="6" spans="1:5">
      <c r="A6" s="25" t="s">
        <v>60</v>
      </c>
      <c r="B6" s="2">
        <v>2</v>
      </c>
      <c r="C6" s="41"/>
      <c r="D6" s="41"/>
    </row>
    <row r="7" spans="1:5">
      <c r="A7" s="25" t="s">
        <v>61</v>
      </c>
      <c r="B7" s="2">
        <v>40</v>
      </c>
      <c r="C7" s="41"/>
      <c r="D7" s="41"/>
    </row>
    <row r="8" spans="1:5">
      <c r="A8" s="25" t="s">
        <v>72</v>
      </c>
      <c r="B8" s="2">
        <v>1753.2</v>
      </c>
      <c r="C8" s="41"/>
      <c r="D8" s="41"/>
    </row>
    <row r="9" spans="1:5">
      <c r="A9" s="25" t="s">
        <v>62</v>
      </c>
      <c r="B9" s="2">
        <v>146.30000000000001</v>
      </c>
      <c r="C9" s="41"/>
      <c r="D9" s="41"/>
    </row>
    <row r="10" spans="1:5">
      <c r="A10" s="25" t="s">
        <v>73</v>
      </c>
      <c r="B10" s="2">
        <v>375.3</v>
      </c>
      <c r="C10" s="41"/>
      <c r="D10" s="41"/>
    </row>
    <row r="11" spans="1:5" ht="36.75">
      <c r="A11" s="38" t="s">
        <v>1</v>
      </c>
      <c r="B11" s="38" t="s">
        <v>2</v>
      </c>
      <c r="C11" s="91" t="s">
        <v>3</v>
      </c>
      <c r="D11" s="91" t="s">
        <v>4</v>
      </c>
    </row>
    <row r="12" spans="1:5">
      <c r="A12" s="178" t="s">
        <v>5</v>
      </c>
      <c r="B12" s="158"/>
      <c r="C12" s="158"/>
      <c r="D12" s="159"/>
    </row>
    <row r="13" spans="1:5" ht="88.5" customHeight="1">
      <c r="A13" s="104" t="s">
        <v>6</v>
      </c>
      <c r="B13" s="160" t="s">
        <v>8</v>
      </c>
      <c r="C13" s="153">
        <v>1.41</v>
      </c>
      <c r="D13" s="163">
        <f>C13*12*B8</f>
        <v>29664.143999999997</v>
      </c>
    </row>
    <row r="14" spans="1:5" ht="75.75" customHeight="1">
      <c r="A14" s="103" t="s">
        <v>89</v>
      </c>
      <c r="B14" s="161"/>
      <c r="C14" s="162"/>
      <c r="D14" s="164"/>
    </row>
    <row r="15" spans="1:5">
      <c r="A15" s="103" t="s">
        <v>9</v>
      </c>
      <c r="B15" s="38"/>
      <c r="C15" s="26"/>
      <c r="D15" s="30"/>
    </row>
    <row r="16" spans="1:5" ht="16.5" customHeight="1">
      <c r="A16" s="7" t="s">
        <v>152</v>
      </c>
      <c r="B16" s="21" t="s">
        <v>80</v>
      </c>
      <c r="C16" s="27">
        <v>0.36</v>
      </c>
      <c r="D16" s="29">
        <f>C16*12*B8</f>
        <v>7573.8240000000005</v>
      </c>
    </row>
    <row r="17" spans="1:4" ht="16.5" customHeight="1">
      <c r="A17" s="7" t="s">
        <v>283</v>
      </c>
      <c r="B17" s="21" t="s">
        <v>117</v>
      </c>
      <c r="C17" s="27">
        <v>0.56999999999999995</v>
      </c>
      <c r="D17" s="29">
        <f>C17*12*B8</f>
        <v>11991.888000000001</v>
      </c>
    </row>
    <row r="18" spans="1:4">
      <c r="A18" s="165" t="s">
        <v>10</v>
      </c>
      <c r="B18" s="165"/>
      <c r="C18" s="165"/>
      <c r="D18" s="165"/>
    </row>
    <row r="19" spans="1:4" ht="13.5" customHeight="1">
      <c r="A19" s="39" t="s">
        <v>97</v>
      </c>
      <c r="B19" s="37"/>
      <c r="C19" s="89"/>
      <c r="D19" s="89"/>
    </row>
    <row r="20" spans="1:4" ht="13.5" customHeight="1">
      <c r="A20" s="6" t="s">
        <v>11</v>
      </c>
      <c r="B20" s="38" t="s">
        <v>75</v>
      </c>
      <c r="C20" s="152">
        <v>2.16</v>
      </c>
      <c r="D20" s="166">
        <f>C20*12*B8</f>
        <v>45442.944000000003</v>
      </c>
    </row>
    <row r="21" spans="1:4" ht="12.75" customHeight="1">
      <c r="A21" s="6" t="s">
        <v>12</v>
      </c>
      <c r="B21" s="38" t="s">
        <v>75</v>
      </c>
      <c r="C21" s="152"/>
      <c r="D21" s="155"/>
    </row>
    <row r="22" spans="1:4" ht="14.25" customHeight="1">
      <c r="A22" s="6" t="s">
        <v>13</v>
      </c>
      <c r="B22" s="38" t="s">
        <v>75</v>
      </c>
      <c r="C22" s="152"/>
      <c r="D22" s="155"/>
    </row>
    <row r="23" spans="1:4" ht="13.5" customHeight="1">
      <c r="A23" s="6" t="s">
        <v>14</v>
      </c>
      <c r="B23" s="38" t="s">
        <v>76</v>
      </c>
      <c r="C23" s="152"/>
      <c r="D23" s="155"/>
    </row>
    <row r="24" spans="1:4" ht="12.75" customHeight="1">
      <c r="A24" s="39" t="s">
        <v>93</v>
      </c>
      <c r="B24" s="38"/>
      <c r="C24" s="152"/>
      <c r="D24" s="155"/>
    </row>
    <row r="25" spans="1:4" ht="30" customHeight="1">
      <c r="A25" s="6" t="s">
        <v>15</v>
      </c>
      <c r="B25" s="38" t="s">
        <v>94</v>
      </c>
      <c r="C25" s="152"/>
      <c r="D25" s="156"/>
    </row>
    <row r="26" spans="1:4" ht="12.75" customHeight="1">
      <c r="A26" s="157" t="s">
        <v>16</v>
      </c>
      <c r="B26" s="158"/>
      <c r="C26" s="158"/>
      <c r="D26" s="159"/>
    </row>
    <row r="27" spans="1:4" ht="12" customHeight="1">
      <c r="A27" s="7" t="s">
        <v>17</v>
      </c>
      <c r="B27" s="21" t="s">
        <v>78</v>
      </c>
      <c r="C27" s="152">
        <v>0.2</v>
      </c>
      <c r="D27" s="163">
        <f>C27*12*B8</f>
        <v>4207.68</v>
      </c>
    </row>
    <row r="28" spans="1:4" ht="12" customHeight="1">
      <c r="A28" s="7" t="s">
        <v>18</v>
      </c>
      <c r="B28" s="21" t="s">
        <v>77</v>
      </c>
      <c r="C28" s="152"/>
      <c r="D28" s="164"/>
    </row>
    <row r="29" spans="1:4" ht="13.5" customHeight="1">
      <c r="A29" s="157" t="s">
        <v>19</v>
      </c>
      <c r="B29" s="158"/>
      <c r="C29" s="158"/>
      <c r="D29" s="159"/>
    </row>
    <row r="30" spans="1:4">
      <c r="A30" s="167" t="s">
        <v>20</v>
      </c>
      <c r="B30" s="167"/>
      <c r="C30" s="167"/>
      <c r="D30" s="167"/>
    </row>
    <row r="31" spans="1:4" ht="37.5" customHeight="1">
      <c r="A31" s="8" t="s">
        <v>21</v>
      </c>
      <c r="B31" s="22" t="s">
        <v>79</v>
      </c>
      <c r="C31" s="152">
        <v>0.79</v>
      </c>
      <c r="D31" s="154">
        <f>C31*12*B8</f>
        <v>16620.336000000003</v>
      </c>
    </row>
    <row r="32" spans="1:4" ht="15" customHeight="1">
      <c r="A32" s="9" t="s">
        <v>23</v>
      </c>
      <c r="B32" s="23" t="s">
        <v>80</v>
      </c>
      <c r="C32" s="152"/>
      <c r="D32" s="155"/>
    </row>
    <row r="33" spans="1:4" ht="13.5" customHeight="1">
      <c r="A33" s="9" t="s">
        <v>25</v>
      </c>
      <c r="B33" s="23" t="s">
        <v>80</v>
      </c>
      <c r="C33" s="152"/>
      <c r="D33" s="155"/>
    </row>
    <row r="34" spans="1:4" ht="36" customHeight="1">
      <c r="A34" s="9" t="s">
        <v>26</v>
      </c>
      <c r="B34" s="22" t="s">
        <v>22</v>
      </c>
      <c r="C34" s="152"/>
      <c r="D34" s="155"/>
    </row>
    <row r="35" spans="1:4" ht="14.25" customHeight="1">
      <c r="A35" s="9" t="s">
        <v>27</v>
      </c>
      <c r="B35" s="22" t="s">
        <v>80</v>
      </c>
      <c r="C35" s="152"/>
      <c r="D35" s="155"/>
    </row>
    <row r="36" spans="1:4" ht="33.75" customHeight="1">
      <c r="A36" s="24" t="s">
        <v>28</v>
      </c>
      <c r="B36" s="22" t="s">
        <v>22</v>
      </c>
      <c r="C36" s="153"/>
      <c r="D36" s="156"/>
    </row>
    <row r="37" spans="1:4" ht="15.75" customHeight="1">
      <c r="A37" s="167" t="s">
        <v>65</v>
      </c>
      <c r="B37" s="167"/>
      <c r="C37" s="167"/>
      <c r="D37" s="167"/>
    </row>
    <row r="38" spans="1:4" ht="36.75" customHeight="1">
      <c r="A38" s="9" t="s">
        <v>66</v>
      </c>
      <c r="B38" s="22" t="s">
        <v>79</v>
      </c>
      <c r="C38" s="154">
        <v>1.29</v>
      </c>
      <c r="D38" s="152">
        <f>C38*12*B8</f>
        <v>27139.536</v>
      </c>
    </row>
    <row r="39" spans="1:4" ht="14.25" customHeight="1">
      <c r="A39" s="9" t="s">
        <v>67</v>
      </c>
      <c r="B39" s="22" t="s">
        <v>80</v>
      </c>
      <c r="C39" s="154"/>
      <c r="D39" s="168"/>
    </row>
    <row r="40" spans="1:4" ht="14.25" customHeight="1">
      <c r="A40" s="9" t="s">
        <v>68</v>
      </c>
      <c r="B40" s="22" t="s">
        <v>80</v>
      </c>
      <c r="C40" s="154"/>
      <c r="D40" s="168"/>
    </row>
    <row r="41" spans="1:4" ht="24" customHeight="1">
      <c r="A41" s="9" t="s">
        <v>69</v>
      </c>
      <c r="B41" s="22" t="s">
        <v>79</v>
      </c>
      <c r="C41" s="154"/>
      <c r="D41" s="168"/>
    </row>
    <row r="42" spans="1:4" ht="25.5" customHeight="1">
      <c r="A42" s="10" t="s">
        <v>70</v>
      </c>
      <c r="B42" s="22" t="s">
        <v>79</v>
      </c>
      <c r="C42" s="154"/>
      <c r="D42" s="168"/>
    </row>
    <row r="43" spans="1:4" ht="14.25" customHeight="1">
      <c r="A43" s="9" t="s">
        <v>71</v>
      </c>
      <c r="B43" s="22" t="s">
        <v>80</v>
      </c>
      <c r="C43" s="154"/>
      <c r="D43" s="162"/>
    </row>
    <row r="44" spans="1:4" ht="11.25" customHeight="1">
      <c r="A44" s="169" t="s">
        <v>29</v>
      </c>
      <c r="B44" s="169"/>
      <c r="C44" s="169"/>
      <c r="D44" s="169"/>
    </row>
    <row r="45" spans="1:4" ht="35.25" customHeight="1">
      <c r="A45" s="9" t="s">
        <v>30</v>
      </c>
      <c r="B45" s="22" t="s">
        <v>22</v>
      </c>
      <c r="C45" s="154">
        <v>0.91</v>
      </c>
      <c r="D45" s="152">
        <f>C45*12*B8</f>
        <v>19144.944</v>
      </c>
    </row>
    <row r="46" spans="1:4" ht="38.25" customHeight="1">
      <c r="A46" s="9" t="s">
        <v>31</v>
      </c>
      <c r="B46" s="22" t="s">
        <v>22</v>
      </c>
      <c r="C46" s="154"/>
      <c r="D46" s="152"/>
    </row>
    <row r="47" spans="1:4" ht="15" customHeight="1">
      <c r="A47" s="10" t="s">
        <v>32</v>
      </c>
      <c r="B47" s="22" t="s">
        <v>22</v>
      </c>
      <c r="C47" s="154"/>
      <c r="D47" s="152"/>
    </row>
    <row r="48" spans="1:4" ht="12.75" customHeight="1">
      <c r="A48" s="167" t="s">
        <v>33</v>
      </c>
      <c r="B48" s="167"/>
      <c r="C48" s="167"/>
      <c r="D48" s="167"/>
    </row>
    <row r="49" spans="1:4" ht="29.25" customHeight="1">
      <c r="A49" s="22" t="s">
        <v>34</v>
      </c>
      <c r="B49" s="22" t="s">
        <v>77</v>
      </c>
      <c r="C49" s="154">
        <v>2.76</v>
      </c>
      <c r="D49" s="154">
        <f>C49*12*B8</f>
        <v>58065.983999999997</v>
      </c>
    </row>
    <row r="50" spans="1:4" ht="14.25" customHeight="1">
      <c r="A50" s="9" t="s">
        <v>35</v>
      </c>
      <c r="B50" s="22" t="s">
        <v>104</v>
      </c>
      <c r="C50" s="154"/>
      <c r="D50" s="154"/>
    </row>
    <row r="51" spans="1:4" ht="17.25" customHeight="1">
      <c r="A51" s="9" t="s">
        <v>36</v>
      </c>
      <c r="B51" s="22" t="s">
        <v>104</v>
      </c>
      <c r="C51" s="154"/>
      <c r="D51" s="154"/>
    </row>
    <row r="52" spans="1:4" ht="24.75" customHeight="1">
      <c r="A52" s="9" t="s">
        <v>37</v>
      </c>
      <c r="B52" s="22" t="s">
        <v>82</v>
      </c>
      <c r="C52" s="154"/>
      <c r="D52" s="154"/>
    </row>
    <row r="53" spans="1:4" ht="30" customHeight="1">
      <c r="A53" s="9" t="s">
        <v>38</v>
      </c>
      <c r="B53" s="22" t="s">
        <v>82</v>
      </c>
      <c r="C53" s="154"/>
      <c r="D53" s="154"/>
    </row>
    <row r="54" spans="1:4" ht="12.75" customHeight="1">
      <c r="A54" s="37" t="s">
        <v>95</v>
      </c>
      <c r="B54" s="6"/>
      <c r="C54" s="154"/>
      <c r="D54" s="154"/>
    </row>
    <row r="55" spans="1:4" ht="35.25" customHeight="1">
      <c r="A55" s="9" t="s">
        <v>40</v>
      </c>
      <c r="B55" s="22" t="s">
        <v>79</v>
      </c>
      <c r="C55" s="154"/>
      <c r="D55" s="154"/>
    </row>
    <row r="56" spans="1:4" ht="14.25" customHeight="1">
      <c r="A56" s="9" t="s">
        <v>41</v>
      </c>
      <c r="B56" s="22" t="s">
        <v>24</v>
      </c>
      <c r="C56" s="154"/>
      <c r="D56" s="154"/>
    </row>
    <row r="57" spans="1:4" ht="14.25" customHeight="1">
      <c r="A57" s="9" t="s">
        <v>42</v>
      </c>
      <c r="B57" s="23" t="s">
        <v>24</v>
      </c>
      <c r="C57" s="154"/>
      <c r="D57" s="154"/>
    </row>
    <row r="58" spans="1:4" ht="13.5" customHeight="1">
      <c r="A58" s="9" t="s">
        <v>43</v>
      </c>
      <c r="B58" s="23" t="s">
        <v>104</v>
      </c>
      <c r="C58" s="154"/>
      <c r="D58" s="154"/>
    </row>
    <row r="59" spans="1:4" ht="13.5" customHeight="1">
      <c r="A59" s="9" t="s">
        <v>44</v>
      </c>
      <c r="B59" s="21" t="s">
        <v>103</v>
      </c>
      <c r="C59" s="154"/>
      <c r="D59" s="154"/>
    </row>
    <row r="60" spans="1:4" ht="36.75" customHeight="1">
      <c r="A60" s="10" t="s">
        <v>45</v>
      </c>
      <c r="B60" s="22" t="s">
        <v>22</v>
      </c>
      <c r="C60" s="154"/>
      <c r="D60" s="154"/>
    </row>
    <row r="61" spans="1:4">
      <c r="A61" s="167" t="s">
        <v>46</v>
      </c>
      <c r="B61" s="167"/>
      <c r="C61" s="167"/>
      <c r="D61" s="167"/>
    </row>
    <row r="62" spans="1:4" ht="15.75" customHeight="1">
      <c r="A62" s="9" t="s">
        <v>47</v>
      </c>
      <c r="B62" s="22" t="s">
        <v>83</v>
      </c>
      <c r="C62" s="153">
        <v>2.27</v>
      </c>
      <c r="D62" s="166">
        <f>C62*B8*12-88.85</f>
        <v>47668.318000000007</v>
      </c>
    </row>
    <row r="63" spans="1:4" ht="12.75" customHeight="1">
      <c r="A63" s="9" t="s">
        <v>48</v>
      </c>
      <c r="B63" s="22" t="s">
        <v>83</v>
      </c>
      <c r="C63" s="168"/>
      <c r="D63" s="155"/>
    </row>
    <row r="64" spans="1:4" ht="27" customHeight="1">
      <c r="A64" s="9" t="s">
        <v>49</v>
      </c>
      <c r="B64" s="22" t="s">
        <v>83</v>
      </c>
      <c r="C64" s="168"/>
      <c r="D64" s="155"/>
    </row>
    <row r="65" spans="1:4" ht="16.5" customHeight="1">
      <c r="A65" s="9" t="s">
        <v>50</v>
      </c>
      <c r="B65" s="22" t="s">
        <v>83</v>
      </c>
      <c r="C65" s="168"/>
      <c r="D65" s="155"/>
    </row>
    <row r="66" spans="1:4" ht="39.75" customHeight="1">
      <c r="A66" s="10" t="s">
        <v>51</v>
      </c>
      <c r="B66" s="22" t="s">
        <v>22</v>
      </c>
      <c r="C66" s="168"/>
      <c r="D66" s="155"/>
    </row>
    <row r="67" spans="1:4" ht="16.5" customHeight="1">
      <c r="A67" s="10" t="s">
        <v>52</v>
      </c>
      <c r="B67" s="23" t="s">
        <v>84</v>
      </c>
      <c r="C67" s="162"/>
      <c r="D67" s="156"/>
    </row>
    <row r="68" spans="1:4">
      <c r="A68" s="157" t="s">
        <v>85</v>
      </c>
      <c r="B68" s="158"/>
      <c r="C68" s="158"/>
      <c r="D68" s="159"/>
    </row>
    <row r="69" spans="1:4" ht="26.25" customHeight="1">
      <c r="A69" s="175" t="s">
        <v>96</v>
      </c>
      <c r="B69" s="177" t="s">
        <v>86</v>
      </c>
      <c r="C69" s="152">
        <v>2.41</v>
      </c>
      <c r="D69" s="154">
        <f>C69*B8*12</f>
        <v>50702.544000000009</v>
      </c>
    </row>
    <row r="70" spans="1:4" ht="13.5" customHeight="1">
      <c r="A70" s="176"/>
      <c r="B70" s="177"/>
      <c r="C70" s="152"/>
      <c r="D70" s="154"/>
    </row>
    <row r="71" spans="1:4" ht="15" customHeight="1">
      <c r="A71" s="157" t="s">
        <v>55</v>
      </c>
      <c r="B71" s="158"/>
      <c r="C71" s="158"/>
      <c r="D71" s="159"/>
    </row>
    <row r="72" spans="1:4" ht="16.5" customHeight="1">
      <c r="A72" s="6" t="s">
        <v>90</v>
      </c>
      <c r="B72" s="21" t="s">
        <v>87</v>
      </c>
      <c r="C72" s="170">
        <v>2.14</v>
      </c>
      <c r="D72" s="172">
        <f>41258.32+3751.84</f>
        <v>45010.16</v>
      </c>
    </row>
    <row r="73" spans="1:4">
      <c r="A73" s="6" t="s">
        <v>91</v>
      </c>
      <c r="B73" s="21" t="s">
        <v>87</v>
      </c>
      <c r="C73" s="171"/>
      <c r="D73" s="173"/>
    </row>
    <row r="74" spans="1:4" ht="15" customHeight="1">
      <c r="A74" s="6" t="s">
        <v>92</v>
      </c>
      <c r="B74" s="21" t="s">
        <v>87</v>
      </c>
      <c r="C74" s="169"/>
      <c r="D74" s="174"/>
    </row>
    <row r="75" spans="1:4" ht="38.25" customHeight="1">
      <c r="A75" s="6" t="s">
        <v>143</v>
      </c>
      <c r="B75" s="22" t="s">
        <v>22</v>
      </c>
      <c r="C75" s="89">
        <v>4.3499999999999996</v>
      </c>
      <c r="D75" s="89">
        <f>C75*12*B8</f>
        <v>91517.04</v>
      </c>
    </row>
    <row r="76" spans="1:4">
      <c r="A76" s="37" t="s">
        <v>56</v>
      </c>
      <c r="B76" s="23"/>
      <c r="C76" s="28">
        <f>C75+C72+C69+C62+C49+C45+C38+C31+C27+C20+C17+C16+C13</f>
        <v>21.619999999999997</v>
      </c>
      <c r="D76" s="28">
        <f>D75+D72+D69+D62+D49+D45+D38+D31+D27+D20+D17+D16+D13</f>
        <v>454749.342</v>
      </c>
    </row>
    <row r="77" spans="1:4">
      <c r="C77" s="97"/>
    </row>
    <row r="79" spans="1:4">
      <c r="D79" s="97"/>
    </row>
    <row r="80" spans="1:4">
      <c r="D80" s="97"/>
    </row>
    <row r="81" spans="4:4">
      <c r="D81" s="97"/>
    </row>
  </sheetData>
  <mergeCells count="34">
    <mergeCell ref="A44:D44"/>
    <mergeCell ref="C45:C47"/>
    <mergeCell ref="D45:D47"/>
    <mergeCell ref="C38:C43"/>
    <mergeCell ref="D38:D43"/>
    <mergeCell ref="A37:D37"/>
    <mergeCell ref="A12:D12"/>
    <mergeCell ref="A18:D18"/>
    <mergeCell ref="C20:C25"/>
    <mergeCell ref="D20:D25"/>
    <mergeCell ref="A26:D26"/>
    <mergeCell ref="D13:D14"/>
    <mergeCell ref="B13:B14"/>
    <mergeCell ref="C13:C14"/>
    <mergeCell ref="C27:C28"/>
    <mergeCell ref="D27:D28"/>
    <mergeCell ref="A29:D29"/>
    <mergeCell ref="A30:D30"/>
    <mergeCell ref="C31:C36"/>
    <mergeCell ref="D31:D36"/>
    <mergeCell ref="A48:D48"/>
    <mergeCell ref="A71:D71"/>
    <mergeCell ref="C72:C74"/>
    <mergeCell ref="D72:D74"/>
    <mergeCell ref="A61:D61"/>
    <mergeCell ref="A68:D68"/>
    <mergeCell ref="A69:A70"/>
    <mergeCell ref="B69:B70"/>
    <mergeCell ref="C69:C70"/>
    <mergeCell ref="D69:D70"/>
    <mergeCell ref="C62:C67"/>
    <mergeCell ref="D62:D67"/>
    <mergeCell ref="C49:C60"/>
    <mergeCell ref="D49:D6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66.xml><?xml version="1.0" encoding="utf-8"?>
<worksheet xmlns="http://schemas.openxmlformats.org/spreadsheetml/2006/main" xmlns:r="http://schemas.openxmlformats.org/officeDocument/2006/relationships">
  <dimension ref="A1:G81"/>
  <sheetViews>
    <sheetView workbookViewId="0">
      <selection activeCell="J14" sqref="J14"/>
    </sheetView>
  </sheetViews>
  <sheetFormatPr defaultRowHeight="15"/>
  <cols>
    <col min="1" max="1" width="92.5703125" customWidth="1"/>
    <col min="2" max="2" width="13" customWidth="1"/>
    <col min="3" max="3" width="10" customWidth="1"/>
    <col min="4" max="4" width="12" customWidth="1"/>
  </cols>
  <sheetData>
    <row r="1" spans="1:7">
      <c r="A1" s="1" t="s">
        <v>0</v>
      </c>
      <c r="B1" s="2"/>
      <c r="C1" s="2"/>
      <c r="D1" s="2" t="s">
        <v>64</v>
      </c>
    </row>
    <row r="2" spans="1:7">
      <c r="A2" s="1" t="s">
        <v>98</v>
      </c>
      <c r="B2" s="2"/>
      <c r="C2" s="2"/>
      <c r="D2" s="2"/>
    </row>
    <row r="3" spans="1:7">
      <c r="A3" s="1" t="s">
        <v>280</v>
      </c>
      <c r="B3" s="2"/>
      <c r="C3" s="2"/>
      <c r="D3" s="2"/>
    </row>
    <row r="4" spans="1:7">
      <c r="A4" s="25" t="s">
        <v>58</v>
      </c>
      <c r="B4" s="41" t="s">
        <v>99</v>
      </c>
      <c r="C4" s="2"/>
      <c r="D4" s="2"/>
    </row>
    <row r="5" spans="1:7">
      <c r="A5" s="25" t="s">
        <v>59</v>
      </c>
      <c r="B5" s="41">
        <v>2</v>
      </c>
      <c r="C5" s="2"/>
      <c r="D5" s="2"/>
    </row>
    <row r="6" spans="1:7">
      <c r="A6" s="25" t="s">
        <v>60</v>
      </c>
      <c r="B6" s="41">
        <v>1</v>
      </c>
      <c r="C6" s="2"/>
      <c r="D6" s="2"/>
    </row>
    <row r="7" spans="1:7">
      <c r="A7" s="25" t="s">
        <v>61</v>
      </c>
      <c r="B7" s="41">
        <v>20</v>
      </c>
      <c r="C7" s="2"/>
      <c r="D7" s="2"/>
    </row>
    <row r="8" spans="1:7">
      <c r="A8" s="25" t="s">
        <v>72</v>
      </c>
      <c r="B8" s="41">
        <v>566.1</v>
      </c>
      <c r="C8" s="2"/>
      <c r="D8" s="2"/>
    </row>
    <row r="9" spans="1:7">
      <c r="A9" s="25" t="s">
        <v>62</v>
      </c>
      <c r="B9" s="41">
        <v>101.6</v>
      </c>
      <c r="C9" s="2"/>
      <c r="D9" s="2"/>
    </row>
    <row r="10" spans="1:7">
      <c r="A10" s="25" t="s">
        <v>73</v>
      </c>
      <c r="B10" s="41" t="s">
        <v>100</v>
      </c>
      <c r="C10" s="2"/>
      <c r="D10" s="2"/>
    </row>
    <row r="11" spans="1:7" ht="36.75">
      <c r="A11" s="33" t="s">
        <v>1</v>
      </c>
      <c r="B11" s="33" t="s">
        <v>2</v>
      </c>
      <c r="C11" s="33" t="s">
        <v>3</v>
      </c>
      <c r="D11" s="33" t="s">
        <v>4</v>
      </c>
    </row>
    <row r="12" spans="1:7">
      <c r="A12" s="178" t="s">
        <v>5</v>
      </c>
      <c r="B12" s="158"/>
      <c r="C12" s="158"/>
      <c r="D12" s="159"/>
    </row>
    <row r="13" spans="1:7" ht="88.5" customHeight="1">
      <c r="A13" s="104" t="s">
        <v>6</v>
      </c>
      <c r="B13" s="160" t="s">
        <v>8</v>
      </c>
      <c r="C13" s="153">
        <v>1.02</v>
      </c>
      <c r="D13" s="163">
        <f>C13*B8*12</f>
        <v>6929.0640000000003</v>
      </c>
    </row>
    <row r="14" spans="1:7" ht="75.75" customHeight="1">
      <c r="A14" s="103" t="s">
        <v>89</v>
      </c>
      <c r="B14" s="161"/>
      <c r="C14" s="162"/>
      <c r="D14" s="164"/>
      <c r="E14" s="116"/>
    </row>
    <row r="15" spans="1:7">
      <c r="A15" s="6" t="s">
        <v>9</v>
      </c>
      <c r="B15" s="113"/>
      <c r="C15" s="26"/>
      <c r="D15" s="26"/>
      <c r="E15" s="186"/>
      <c r="F15" s="187"/>
      <c r="G15" s="187"/>
    </row>
    <row r="16" spans="1:7">
      <c r="A16" s="6" t="s">
        <v>234</v>
      </c>
      <c r="B16" s="113" t="s">
        <v>117</v>
      </c>
      <c r="C16" s="44">
        <v>1.1399999999999999</v>
      </c>
      <c r="D16" s="44">
        <f>C16*B8*12</f>
        <v>7744.2479999999996</v>
      </c>
      <c r="E16" s="114"/>
      <c r="F16" s="115"/>
      <c r="G16" s="115"/>
    </row>
    <row r="17" spans="1:7">
      <c r="A17" s="74" t="s">
        <v>281</v>
      </c>
      <c r="B17" s="113" t="s">
        <v>24</v>
      </c>
      <c r="C17" s="44">
        <v>1.86</v>
      </c>
      <c r="D17" s="44">
        <f>C17*12*B8</f>
        <v>12635.352000000001</v>
      </c>
      <c r="E17" s="114"/>
      <c r="F17" s="115"/>
      <c r="G17" s="115"/>
    </row>
    <row r="18" spans="1:7">
      <c r="A18" s="191" t="s">
        <v>10</v>
      </c>
      <c r="B18" s="192"/>
      <c r="C18" s="192"/>
      <c r="D18" s="193"/>
    </row>
    <row r="19" spans="1:7" ht="13.5" customHeight="1">
      <c r="A19" s="39" t="s">
        <v>97</v>
      </c>
      <c r="B19" s="111"/>
      <c r="C19" s="111"/>
      <c r="D19" s="111"/>
    </row>
    <row r="20" spans="1:7" ht="13.5" customHeight="1">
      <c r="A20" s="6" t="s">
        <v>11</v>
      </c>
      <c r="B20" s="33" t="s">
        <v>75</v>
      </c>
      <c r="C20" s="152">
        <v>2.16</v>
      </c>
      <c r="D20" s="166">
        <f>C20*B8*12</f>
        <v>14673.312000000002</v>
      </c>
    </row>
    <row r="21" spans="1:7" ht="12.75" customHeight="1">
      <c r="A21" s="6" t="s">
        <v>12</v>
      </c>
      <c r="B21" s="33" t="s">
        <v>75</v>
      </c>
      <c r="C21" s="152"/>
      <c r="D21" s="155"/>
    </row>
    <row r="22" spans="1:7" ht="14.25" customHeight="1">
      <c r="A22" s="6" t="s">
        <v>13</v>
      </c>
      <c r="B22" s="33" t="s">
        <v>75</v>
      </c>
      <c r="C22" s="152"/>
      <c r="D22" s="155"/>
    </row>
    <row r="23" spans="1:7" ht="13.5" customHeight="1">
      <c r="A23" s="6" t="s">
        <v>14</v>
      </c>
      <c r="B23" s="33" t="s">
        <v>76</v>
      </c>
      <c r="C23" s="152"/>
      <c r="D23" s="155"/>
    </row>
    <row r="24" spans="1:7" ht="12.75" customHeight="1">
      <c r="A24" s="39" t="s">
        <v>93</v>
      </c>
      <c r="B24" s="33"/>
      <c r="C24" s="152"/>
      <c r="D24" s="155"/>
    </row>
    <row r="25" spans="1:7" ht="30" customHeight="1">
      <c r="A25" s="6" t="s">
        <v>15</v>
      </c>
      <c r="B25" s="33" t="s">
        <v>94</v>
      </c>
      <c r="C25" s="152"/>
      <c r="D25" s="156"/>
    </row>
    <row r="26" spans="1:7" ht="12.75" customHeight="1">
      <c r="A26" s="157" t="s">
        <v>16</v>
      </c>
      <c r="B26" s="158"/>
      <c r="C26" s="158"/>
      <c r="D26" s="159"/>
    </row>
    <row r="27" spans="1:7" ht="12" customHeight="1">
      <c r="A27" s="7" t="s">
        <v>17</v>
      </c>
      <c r="B27" s="21" t="s">
        <v>78</v>
      </c>
      <c r="C27" s="152">
        <v>0.2</v>
      </c>
      <c r="D27" s="167">
        <f>C27*B8*12</f>
        <v>1358.64</v>
      </c>
    </row>
    <row r="28" spans="1:7" ht="12" customHeight="1">
      <c r="A28" s="7" t="s">
        <v>18</v>
      </c>
      <c r="B28" s="21" t="s">
        <v>77</v>
      </c>
      <c r="C28" s="152"/>
      <c r="D28" s="167"/>
    </row>
    <row r="29" spans="1:7" ht="13.5" customHeight="1">
      <c r="A29" s="157" t="s">
        <v>19</v>
      </c>
      <c r="B29" s="158"/>
      <c r="C29" s="158"/>
      <c r="D29" s="159"/>
    </row>
    <row r="30" spans="1:7">
      <c r="A30" s="167" t="s">
        <v>20</v>
      </c>
      <c r="B30" s="167"/>
      <c r="C30" s="167"/>
      <c r="D30" s="167"/>
    </row>
    <row r="31" spans="1:7" ht="37.5" customHeight="1">
      <c r="A31" s="8" t="s">
        <v>21</v>
      </c>
      <c r="B31" s="22" t="s">
        <v>79</v>
      </c>
      <c r="C31" s="152">
        <v>0.79</v>
      </c>
      <c r="D31" s="154">
        <f>C31*B8*12</f>
        <v>5366.6280000000006</v>
      </c>
    </row>
    <row r="32" spans="1:7" ht="15" customHeight="1">
      <c r="A32" s="9" t="s">
        <v>23</v>
      </c>
      <c r="B32" s="23" t="s">
        <v>80</v>
      </c>
      <c r="C32" s="152"/>
      <c r="D32" s="155"/>
    </row>
    <row r="33" spans="1:4" ht="13.5" customHeight="1">
      <c r="A33" s="9" t="s">
        <v>25</v>
      </c>
      <c r="B33" s="23" t="s">
        <v>80</v>
      </c>
      <c r="C33" s="152"/>
      <c r="D33" s="155"/>
    </row>
    <row r="34" spans="1:4" ht="36" customHeight="1">
      <c r="A34" s="9" t="s">
        <v>26</v>
      </c>
      <c r="B34" s="22" t="s">
        <v>22</v>
      </c>
      <c r="C34" s="152"/>
      <c r="D34" s="155"/>
    </row>
    <row r="35" spans="1:4" ht="14.25" customHeight="1">
      <c r="A35" s="9" t="s">
        <v>27</v>
      </c>
      <c r="B35" s="22" t="s">
        <v>80</v>
      </c>
      <c r="C35" s="152"/>
      <c r="D35" s="155"/>
    </row>
    <row r="36" spans="1:4" ht="33.75" customHeight="1">
      <c r="A36" s="24" t="s">
        <v>28</v>
      </c>
      <c r="B36" s="22" t="s">
        <v>22</v>
      </c>
      <c r="C36" s="153"/>
      <c r="D36" s="156"/>
    </row>
    <row r="37" spans="1:4" ht="15.75" customHeight="1">
      <c r="A37" s="167" t="s">
        <v>65</v>
      </c>
      <c r="B37" s="167"/>
      <c r="C37" s="167"/>
      <c r="D37" s="167"/>
    </row>
    <row r="38" spans="1:4" ht="36.75" customHeight="1">
      <c r="A38" s="9" t="s">
        <v>66</v>
      </c>
      <c r="B38" s="22" t="s">
        <v>79</v>
      </c>
      <c r="C38" s="154">
        <v>1.29</v>
      </c>
      <c r="D38" s="152">
        <f>C38*B8*12</f>
        <v>8763.2279999999992</v>
      </c>
    </row>
    <row r="39" spans="1:4" ht="14.25" customHeight="1">
      <c r="A39" s="9" t="s">
        <v>67</v>
      </c>
      <c r="B39" s="22" t="s">
        <v>80</v>
      </c>
      <c r="C39" s="154"/>
      <c r="D39" s="168"/>
    </row>
    <row r="40" spans="1:4" ht="14.25" customHeight="1">
      <c r="A40" s="9" t="s">
        <v>68</v>
      </c>
      <c r="B40" s="22" t="s">
        <v>80</v>
      </c>
      <c r="C40" s="154"/>
      <c r="D40" s="168"/>
    </row>
    <row r="41" spans="1:4" ht="24" customHeight="1">
      <c r="A41" s="9" t="s">
        <v>69</v>
      </c>
      <c r="B41" s="22" t="s">
        <v>79</v>
      </c>
      <c r="C41" s="154"/>
      <c r="D41" s="168"/>
    </row>
    <row r="42" spans="1:4" ht="25.5" customHeight="1">
      <c r="A42" s="10" t="s">
        <v>70</v>
      </c>
      <c r="B42" s="22" t="s">
        <v>79</v>
      </c>
      <c r="C42" s="154"/>
      <c r="D42" s="168"/>
    </row>
    <row r="43" spans="1:4" ht="14.25" customHeight="1">
      <c r="A43" s="9" t="s">
        <v>71</v>
      </c>
      <c r="B43" s="22" t="s">
        <v>80</v>
      </c>
      <c r="C43" s="154"/>
      <c r="D43" s="162"/>
    </row>
    <row r="44" spans="1:4" ht="11.25" customHeight="1">
      <c r="A44" s="169" t="s">
        <v>29</v>
      </c>
      <c r="B44" s="169"/>
      <c r="C44" s="169"/>
      <c r="D44" s="169"/>
    </row>
    <row r="45" spans="1:4" ht="35.25" customHeight="1">
      <c r="A45" s="9" t="s">
        <v>30</v>
      </c>
      <c r="B45" s="22" t="s">
        <v>80</v>
      </c>
      <c r="C45" s="154">
        <v>0.91</v>
      </c>
      <c r="D45" s="152">
        <f>C45*B8*12</f>
        <v>6181.8120000000008</v>
      </c>
    </row>
    <row r="46" spans="1:4" ht="38.25" customHeight="1">
      <c r="A46" s="9" t="s">
        <v>31</v>
      </c>
      <c r="B46" s="22" t="s">
        <v>80</v>
      </c>
      <c r="C46" s="154"/>
      <c r="D46" s="152"/>
    </row>
    <row r="47" spans="1:4" ht="15" customHeight="1">
      <c r="A47" s="10" t="s">
        <v>32</v>
      </c>
      <c r="B47" s="22" t="s">
        <v>22</v>
      </c>
      <c r="C47" s="154"/>
      <c r="D47" s="152"/>
    </row>
    <row r="48" spans="1:4" ht="12.75" customHeight="1">
      <c r="A48" s="167" t="s">
        <v>33</v>
      </c>
      <c r="B48" s="167"/>
      <c r="C48" s="167"/>
      <c r="D48" s="167"/>
    </row>
    <row r="49" spans="1:4" ht="29.25" customHeight="1">
      <c r="A49" s="9" t="s">
        <v>34</v>
      </c>
      <c r="B49" s="22" t="s">
        <v>77</v>
      </c>
      <c r="C49" s="154">
        <v>2.08</v>
      </c>
      <c r="D49" s="154">
        <f>C49*B8*12</f>
        <v>14129.856</v>
      </c>
    </row>
    <row r="50" spans="1:4" ht="14.25" customHeight="1">
      <c r="A50" s="9" t="s">
        <v>35</v>
      </c>
      <c r="B50" s="22" t="s">
        <v>81</v>
      </c>
      <c r="C50" s="154"/>
      <c r="D50" s="154"/>
    </row>
    <row r="51" spans="1:4" ht="17.25" customHeight="1">
      <c r="A51" s="9" t="s">
        <v>36</v>
      </c>
      <c r="B51" s="22" t="s">
        <v>81</v>
      </c>
      <c r="C51" s="154"/>
      <c r="D51" s="154"/>
    </row>
    <row r="52" spans="1:4" ht="24.75" customHeight="1">
      <c r="A52" s="9" t="s">
        <v>37</v>
      </c>
      <c r="B52" s="22" t="s">
        <v>82</v>
      </c>
      <c r="C52" s="154"/>
      <c r="D52" s="154"/>
    </row>
    <row r="53" spans="1:4" ht="30" customHeight="1">
      <c r="A53" s="9" t="s">
        <v>38</v>
      </c>
      <c r="B53" s="22" t="s">
        <v>82</v>
      </c>
      <c r="C53" s="154"/>
      <c r="D53" s="154"/>
    </row>
    <row r="54" spans="1:4" ht="12.75" customHeight="1">
      <c r="A54" s="31" t="s">
        <v>95</v>
      </c>
      <c r="B54" s="6"/>
      <c r="C54" s="154"/>
      <c r="D54" s="154"/>
    </row>
    <row r="55" spans="1:4" ht="35.25" customHeight="1">
      <c r="A55" s="9" t="s">
        <v>40</v>
      </c>
      <c r="B55" s="22" t="s">
        <v>79</v>
      </c>
      <c r="C55" s="154"/>
      <c r="D55" s="154"/>
    </row>
    <row r="56" spans="1:4" ht="14.25" customHeight="1">
      <c r="A56" s="9" t="s">
        <v>41</v>
      </c>
      <c r="B56" s="22" t="s">
        <v>24</v>
      </c>
      <c r="C56" s="154"/>
      <c r="D56" s="154"/>
    </row>
    <row r="57" spans="1:4" ht="14.25" customHeight="1">
      <c r="A57" s="9" t="s">
        <v>42</v>
      </c>
      <c r="B57" s="23" t="s">
        <v>24</v>
      </c>
      <c r="C57" s="154"/>
      <c r="D57" s="154"/>
    </row>
    <row r="58" spans="1:4" ht="13.5" customHeight="1">
      <c r="A58" s="9" t="s">
        <v>43</v>
      </c>
      <c r="B58" s="23" t="s">
        <v>24</v>
      </c>
      <c r="C58" s="154"/>
      <c r="D58" s="154"/>
    </row>
    <row r="59" spans="1:4" ht="13.5" customHeight="1">
      <c r="A59" s="9" t="s">
        <v>44</v>
      </c>
      <c r="B59" s="43" t="s">
        <v>101</v>
      </c>
      <c r="C59" s="154"/>
      <c r="D59" s="154"/>
    </row>
    <row r="60" spans="1:4" ht="36.75" customHeight="1">
      <c r="A60" s="10" t="s">
        <v>45</v>
      </c>
      <c r="B60" s="22" t="s">
        <v>22</v>
      </c>
      <c r="C60" s="154"/>
      <c r="D60" s="154"/>
    </row>
    <row r="61" spans="1:4">
      <c r="A61" s="167" t="s">
        <v>46</v>
      </c>
      <c r="B61" s="167"/>
      <c r="C61" s="167"/>
      <c r="D61" s="167"/>
    </row>
    <row r="62" spans="1:4" ht="15.75" customHeight="1">
      <c r="A62" s="9" t="s">
        <v>47</v>
      </c>
      <c r="B62" s="22" t="s">
        <v>83</v>
      </c>
      <c r="C62" s="152">
        <v>1.27</v>
      </c>
      <c r="D62" s="154">
        <f>C62*B8*12+0.74</f>
        <v>8628.1039999999994</v>
      </c>
    </row>
    <row r="63" spans="1:4" ht="12.75" customHeight="1">
      <c r="A63" s="9" t="s">
        <v>48</v>
      </c>
      <c r="B63" s="22" t="s">
        <v>83</v>
      </c>
      <c r="C63" s="152"/>
      <c r="D63" s="154"/>
    </row>
    <row r="64" spans="1:4" ht="15.75" customHeight="1">
      <c r="A64" s="9" t="s">
        <v>49</v>
      </c>
      <c r="B64" s="22" t="s">
        <v>83</v>
      </c>
      <c r="C64" s="152"/>
      <c r="D64" s="154"/>
    </row>
    <row r="65" spans="1:4" ht="16.5" customHeight="1">
      <c r="A65" s="9" t="s">
        <v>50</v>
      </c>
      <c r="B65" s="22" t="s">
        <v>83</v>
      </c>
      <c r="C65" s="152"/>
      <c r="D65" s="154"/>
    </row>
    <row r="66" spans="1:4" ht="39.75" customHeight="1">
      <c r="A66" s="10" t="s">
        <v>51</v>
      </c>
      <c r="B66" s="22" t="s">
        <v>22</v>
      </c>
      <c r="C66" s="152"/>
      <c r="D66" s="154"/>
    </row>
    <row r="67" spans="1:4" ht="16.5" customHeight="1">
      <c r="A67" s="53" t="s">
        <v>52</v>
      </c>
      <c r="B67" s="23" t="s">
        <v>84</v>
      </c>
      <c r="C67" s="152"/>
      <c r="D67" s="154"/>
    </row>
    <row r="68" spans="1:4">
      <c r="A68" s="157" t="s">
        <v>85</v>
      </c>
      <c r="B68" s="158"/>
      <c r="C68" s="158"/>
      <c r="D68" s="159"/>
    </row>
    <row r="69" spans="1:4" ht="26.25" customHeight="1">
      <c r="A69" s="175" t="s">
        <v>96</v>
      </c>
      <c r="B69" s="177" t="s">
        <v>86</v>
      </c>
      <c r="C69" s="152">
        <v>2.41</v>
      </c>
      <c r="D69" s="154">
        <f>C69*12*B8</f>
        <v>16371.612000000001</v>
      </c>
    </row>
    <row r="70" spans="1:4" ht="13.5" customHeight="1">
      <c r="A70" s="176"/>
      <c r="B70" s="177"/>
      <c r="C70" s="152"/>
      <c r="D70" s="154"/>
    </row>
    <row r="71" spans="1:4" ht="15" customHeight="1">
      <c r="A71" s="157" t="s">
        <v>55</v>
      </c>
      <c r="B71" s="158"/>
      <c r="C71" s="158"/>
      <c r="D71" s="159"/>
    </row>
    <row r="72" spans="1:4" ht="16.5" customHeight="1">
      <c r="A72" s="6" t="s">
        <v>90</v>
      </c>
      <c r="B72" s="21" t="s">
        <v>87</v>
      </c>
      <c r="C72" s="170">
        <v>2.14</v>
      </c>
      <c r="D72" s="172">
        <f>1211.45+13325.95</f>
        <v>14537.400000000001</v>
      </c>
    </row>
    <row r="73" spans="1:4">
      <c r="A73" s="6" t="s">
        <v>91</v>
      </c>
      <c r="B73" s="21" t="s">
        <v>87</v>
      </c>
      <c r="C73" s="171"/>
      <c r="D73" s="173"/>
    </row>
    <row r="74" spans="1:4" ht="15" customHeight="1">
      <c r="A74" s="6" t="s">
        <v>92</v>
      </c>
      <c r="B74" s="21" t="s">
        <v>87</v>
      </c>
      <c r="C74" s="169"/>
      <c r="D74" s="174"/>
    </row>
    <row r="75" spans="1:4" ht="38.25" customHeight="1">
      <c r="A75" s="6" t="s">
        <v>143</v>
      </c>
      <c r="B75" s="22" t="s">
        <v>22</v>
      </c>
      <c r="C75" s="32">
        <v>4.3499999999999996</v>
      </c>
      <c r="D75" s="32">
        <f>C75*12*B8</f>
        <v>29550.42</v>
      </c>
    </row>
    <row r="76" spans="1:4">
      <c r="A76" s="31" t="s">
        <v>56</v>
      </c>
      <c r="B76" s="23"/>
      <c r="C76" s="28">
        <f>C75+C72+C69+C62+C49+C45+C38+C31+C27+C20+C17+C16+C13</f>
        <v>21.619999999999997</v>
      </c>
      <c r="D76" s="28">
        <f>D75+D72+D69+D62+D49+D45+D38+D31+D27+D20+D17+D16+D13</f>
        <v>146869.67600000001</v>
      </c>
    </row>
    <row r="79" spans="1:4">
      <c r="D79" s="40"/>
    </row>
    <row r="80" spans="1:4">
      <c r="D80" s="40"/>
    </row>
    <row r="81" spans="4:4">
      <c r="D81" s="40"/>
    </row>
  </sheetData>
  <mergeCells count="35">
    <mergeCell ref="A71:D71"/>
    <mergeCell ref="C72:C74"/>
    <mergeCell ref="D72:D74"/>
    <mergeCell ref="A61:D61"/>
    <mergeCell ref="A68:D68"/>
    <mergeCell ref="A69:A70"/>
    <mergeCell ref="B69:B70"/>
    <mergeCell ref="C69:C70"/>
    <mergeCell ref="D69:D70"/>
    <mergeCell ref="C62:C67"/>
    <mergeCell ref="D62:D67"/>
    <mergeCell ref="A44:D44"/>
    <mergeCell ref="C45:C47"/>
    <mergeCell ref="D45:D47"/>
    <mergeCell ref="A48:D48"/>
    <mergeCell ref="C49:C60"/>
    <mergeCell ref="D49:D60"/>
    <mergeCell ref="A12:D12"/>
    <mergeCell ref="A18:D18"/>
    <mergeCell ref="C20:C25"/>
    <mergeCell ref="D20:D25"/>
    <mergeCell ref="A26:D26"/>
    <mergeCell ref="B13:B14"/>
    <mergeCell ref="C13:C14"/>
    <mergeCell ref="D13:D14"/>
    <mergeCell ref="E15:G15"/>
    <mergeCell ref="C38:C43"/>
    <mergeCell ref="D38:D43"/>
    <mergeCell ref="C27:C28"/>
    <mergeCell ref="D27:D28"/>
    <mergeCell ref="A29:D29"/>
    <mergeCell ref="A30:D30"/>
    <mergeCell ref="C31:C36"/>
    <mergeCell ref="D31:D36"/>
    <mergeCell ref="A37:D3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19" sqref="M1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67</vt:i4>
      </vt:variant>
      <vt:variant>
        <vt:lpstr>Именованные диапазоны</vt:lpstr>
      </vt:variant>
      <vt:variant>
        <vt:i4>1</vt:i4>
      </vt:variant>
    </vt:vector>
  </HeadingPairs>
  <TitlesOfParts>
    <vt:vector size="68" baseType="lpstr">
      <vt:lpstr>1 Вокзальная 7</vt:lpstr>
      <vt:lpstr>Садовая18</vt:lpstr>
      <vt:lpstr>Братская 1</vt:lpstr>
      <vt:lpstr>Батарейная 4</vt:lpstr>
      <vt:lpstr>Катовского 30</vt:lpstr>
      <vt:lpstr>зейский 8 1</vt:lpstr>
      <vt:lpstr>Луценко 8а) (2)</vt:lpstr>
      <vt:lpstr>Луценко 82)</vt:lpstr>
      <vt:lpstr>Луценко 6</vt:lpstr>
      <vt:lpstr>Южная 5</vt:lpstr>
      <vt:lpstr>Ленина 153А</vt:lpstr>
      <vt:lpstr>Благовещенская 106А</vt:lpstr>
      <vt:lpstr>Летний 6</vt:lpstr>
      <vt:lpstr>50комсомола 5 </vt:lpstr>
      <vt:lpstr>Луценко 4</vt:lpstr>
      <vt:lpstr>зеленая 32</vt:lpstr>
      <vt:lpstr>9мая 223</vt:lpstr>
      <vt:lpstr>9мая 175А</vt:lpstr>
      <vt:lpstr>50комсомола 137</vt:lpstr>
      <vt:lpstr>50комсомола 135 </vt:lpstr>
      <vt:lpstr>50комсомола 133</vt:lpstr>
      <vt:lpstr>50комсомола 131</vt:lpstr>
      <vt:lpstr>50комсомола 129</vt:lpstr>
      <vt:lpstr>50комсомола 127</vt:lpstr>
      <vt:lpstr>50комсомола 125В</vt:lpstr>
      <vt:lpstr>50комсомола 125А</vt:lpstr>
      <vt:lpstr>50комсомола 121</vt:lpstr>
      <vt:lpstr>50комсомола 106</vt:lpstr>
      <vt:lpstr>Медицинский 8</vt:lpstr>
      <vt:lpstr>Транспортная 6</vt:lpstr>
      <vt:lpstr>Транспортная 42</vt:lpstr>
      <vt:lpstr>н-шоссе 172</vt:lpstr>
      <vt:lpstr>н-шоссе 170А</vt:lpstr>
      <vt:lpstr>н-шоссе 27</vt:lpstr>
      <vt:lpstr>50комсомола 57</vt:lpstr>
      <vt:lpstr>50комсомола 125)</vt:lpstr>
      <vt:lpstr>Зеленая 24А</vt:lpstr>
      <vt:lpstr>50комсомола 60-2)</vt:lpstr>
      <vt:lpstr>Озерная 2</vt:lpstr>
      <vt:lpstr>Весенний 2</vt:lpstr>
      <vt:lpstr>9мая 210а</vt:lpstr>
      <vt:lpstr>50комсомола 125Б</vt:lpstr>
      <vt:lpstr>50комсомола 60</vt:lpstr>
      <vt:lpstr>50комсомола 123</vt:lpstr>
      <vt:lpstr>9мая 225</vt:lpstr>
      <vt:lpstr>весенний 4а)</vt:lpstr>
      <vt:lpstr>9мая 221</vt:lpstr>
      <vt:lpstr>9мая 208</vt:lpstr>
      <vt:lpstr>зейский 11</vt:lpstr>
      <vt:lpstr>зейский 9</vt:lpstr>
      <vt:lpstr>зейский 9-2 </vt:lpstr>
      <vt:lpstr>зейский 9-1</vt:lpstr>
      <vt:lpstr>50 лет Комсомола 123а</vt:lpstr>
      <vt:lpstr>50 лет Комсомола 123д</vt:lpstr>
      <vt:lpstr>50 лет Комсомола 123Г</vt:lpstr>
      <vt:lpstr>50 лет Комсомола 123б</vt:lpstr>
      <vt:lpstr>комсомола 123В</vt:lpstr>
      <vt:lpstr>9мая 219</vt:lpstr>
      <vt:lpstr>9мая 217-2</vt:lpstr>
      <vt:lpstr>зейский 7</vt:lpstr>
      <vt:lpstr>Весенний 3</vt:lpstr>
      <vt:lpstr>9мая 217</vt:lpstr>
      <vt:lpstr>зеленая30 </vt:lpstr>
      <vt:lpstr>зеленая26</vt:lpstr>
      <vt:lpstr>весенний 5</vt:lpstr>
      <vt:lpstr>Весенний 7</vt:lpstr>
      <vt:lpstr>Лист1</vt:lpstr>
      <vt:lpstr>'9мая 217'!Область_печати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2017-03-22T07:40:50Z</dcterms:modified>
</cp:coreProperties>
</file>