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120" windowWidth="15120" windowHeight="8010" firstSheet="17" activeTab="17"/>
  </bookViews>
  <sheets>
    <sheet name="Благовещенская 106А" sheetId="67" r:id="rId1"/>
    <sheet name="Летний 6" sheetId="66" r:id="rId2"/>
    <sheet name="50комсомола 5 (3)" sheetId="65" r:id="rId3"/>
    <sheet name="Луценко 4" sheetId="64" r:id="rId4"/>
    <sheet name="зеленая 32" sheetId="63" r:id="rId5"/>
    <sheet name="9мая 223" sheetId="62" r:id="rId6"/>
    <sheet name="9мая 175А" sheetId="61" r:id="rId7"/>
    <sheet name="50комсомола 137" sheetId="60" r:id="rId8"/>
    <sheet name="50комсомола 135 (2)" sheetId="59" r:id="rId9"/>
    <sheet name="50комсомола 133" sheetId="58" r:id="rId10"/>
    <sheet name="50комсомола 131" sheetId="56" r:id="rId11"/>
    <sheet name="50комсомола 129(2)" sheetId="55" r:id="rId12"/>
    <sheet name="50комсомола 127" sheetId="54" r:id="rId13"/>
    <sheet name="50комсомола 125В" sheetId="53" r:id="rId14"/>
    <sheet name="50комсомола 125А" sheetId="52" r:id="rId15"/>
    <sheet name="50комсомола 121" sheetId="51" r:id="rId16"/>
    <sheet name="50комсомола 106" sheetId="50" r:id="rId17"/>
    <sheet name="Медицинский 8" sheetId="48" r:id="rId18"/>
    <sheet name="Транспортная 6" sheetId="47" r:id="rId19"/>
    <sheet name="Транспортная 42" sheetId="46" r:id="rId20"/>
    <sheet name="н-шоссе 172 (2)" sheetId="45" r:id="rId21"/>
    <sheet name="н-шоссе 170А" sheetId="44" r:id="rId22"/>
    <sheet name="н-шоссе 27" sheetId="43" r:id="rId23"/>
    <sheet name="50комсомола 57" sheetId="42" r:id="rId24"/>
    <sheet name="50комсомола 125)" sheetId="41" r:id="rId25"/>
    <sheet name="Зеленая 24А" sheetId="40" r:id="rId26"/>
    <sheet name="50комсомола 60-2)" sheetId="39" r:id="rId27"/>
    <sheet name="Озерная 2" sheetId="37" r:id="rId28"/>
    <sheet name="Весенний 2" sheetId="36" r:id="rId29"/>
    <sheet name="9мая 210а" sheetId="35" r:id="rId30"/>
    <sheet name="зейский 8" sheetId="34" r:id="rId31"/>
    <sheet name="50комсомола 125Б" sheetId="33" r:id="rId32"/>
    <sheet name="50комсомола 60" sheetId="32" r:id="rId33"/>
    <sheet name="50комсомола 123" sheetId="31" r:id="rId34"/>
    <sheet name="9мая 225" sheetId="30" r:id="rId35"/>
    <sheet name="весенний 4а)" sheetId="29" r:id="rId36"/>
    <sheet name="9мая 221" sheetId="28" r:id="rId37"/>
    <sheet name="9мая 208" sheetId="27" r:id="rId38"/>
    <sheet name="зейский 11" sheetId="25" r:id="rId39"/>
    <sheet name="зейский 9" sheetId="24" r:id="rId40"/>
    <sheet name="зейский 9-2 (2)" sheetId="23" r:id="rId41"/>
    <sheet name="зейский 9-1" sheetId="22" r:id="rId42"/>
    <sheet name="комсомола 123а" sheetId="21" r:id="rId43"/>
    <sheet name="комсомола 123д" sheetId="20" r:id="rId44"/>
    <sheet name="комсомола 123Г" sheetId="19" r:id="rId45"/>
    <sheet name="комсомола 123б" sheetId="18" r:id="rId46"/>
    <sheet name="комсомола 123В" sheetId="17" r:id="rId47"/>
    <sheet name="9мая 219" sheetId="16" r:id="rId48"/>
    <sheet name="9мая 217-2" sheetId="15" r:id="rId49"/>
    <sheet name="зейский 7" sheetId="14" r:id="rId50"/>
    <sheet name="Весенний 3" sheetId="12" r:id="rId51"/>
    <sheet name="9мая 217" sheetId="11" r:id="rId52"/>
    <sheet name="зеленая30 (2)" sheetId="10" r:id="rId53"/>
    <sheet name="зеленая26" sheetId="9" r:id="rId54"/>
    <sheet name="весенний 5" sheetId="7" r:id="rId55"/>
    <sheet name="Весенний 7" sheetId="6" r:id="rId56"/>
  </sheets>
  <calcPr calcId="125725"/>
</workbook>
</file>

<file path=xl/calcChain.xml><?xml version="1.0" encoding="utf-8"?>
<calcChain xmlns="http://schemas.openxmlformats.org/spreadsheetml/2006/main">
  <c r="D79" i="31"/>
  <c r="D45" i="59"/>
  <c r="D73"/>
  <c r="C73"/>
  <c r="D78" i="58"/>
  <c r="C78"/>
  <c r="D48" i="63"/>
  <c r="C75"/>
  <c r="D46" i="52"/>
  <c r="D73" s="1"/>
  <c r="C73"/>
  <c r="D52" i="64"/>
  <c r="D65"/>
  <c r="D77" i="29"/>
  <c r="E76"/>
  <c r="E73"/>
  <c r="D70"/>
  <c r="D63"/>
  <c r="D50"/>
  <c r="D46"/>
  <c r="D39"/>
  <c r="D32"/>
  <c r="D18"/>
  <c r="D17"/>
  <c r="D16"/>
  <c r="D14"/>
  <c r="D13"/>
  <c r="D51" i="67"/>
  <c r="C79"/>
  <c r="D19"/>
  <c r="D22"/>
  <c r="D29"/>
  <c r="D72"/>
  <c r="D64"/>
  <c r="D47"/>
  <c r="D40"/>
  <c r="D33"/>
  <c r="D14"/>
  <c r="D13"/>
  <c r="D16"/>
  <c r="D17"/>
  <c r="D18"/>
  <c r="D48" i="66"/>
  <c r="D13"/>
  <c r="D14"/>
  <c r="D19"/>
  <c r="D26"/>
  <c r="D30"/>
  <c r="D37"/>
  <c r="D44"/>
  <c r="D61"/>
  <c r="D68"/>
  <c r="C75"/>
  <c r="C16"/>
  <c r="D16" s="1"/>
  <c r="D51" i="65"/>
  <c r="D71"/>
  <c r="D64"/>
  <c r="D47"/>
  <c r="D40"/>
  <c r="D33"/>
  <c r="D29"/>
  <c r="D22"/>
  <c r="D14"/>
  <c r="D13"/>
  <c r="C19"/>
  <c r="D19" s="1"/>
  <c r="C18"/>
  <c r="D18" s="1"/>
  <c r="D17"/>
  <c r="C16"/>
  <c r="D16" s="1"/>
  <c r="C20" i="64"/>
  <c r="D20" s="1"/>
  <c r="C19"/>
  <c r="D19" s="1"/>
  <c r="C16"/>
  <c r="D16" s="1"/>
  <c r="C17"/>
  <c r="D17" s="1"/>
  <c r="D18"/>
  <c r="D41"/>
  <c r="D13"/>
  <c r="D14"/>
  <c r="D23"/>
  <c r="D30"/>
  <c r="D34"/>
  <c r="D48"/>
  <c r="D72"/>
  <c r="D79" s="1"/>
  <c r="D16" i="63"/>
  <c r="D68"/>
  <c r="D75" s="1"/>
  <c r="D61"/>
  <c r="D44"/>
  <c r="D37"/>
  <c r="D30"/>
  <c r="D26"/>
  <c r="D19"/>
  <c r="D14"/>
  <c r="D13"/>
  <c r="D42" i="62"/>
  <c r="C69"/>
  <c r="C17"/>
  <c r="D62"/>
  <c r="D55"/>
  <c r="D38"/>
  <c r="D31"/>
  <c r="D27"/>
  <c r="D20"/>
  <c r="D17"/>
  <c r="D16"/>
  <c r="D14"/>
  <c r="D13"/>
  <c r="D42" i="61"/>
  <c r="D69" s="1"/>
  <c r="C69"/>
  <c r="D27"/>
  <c r="D55"/>
  <c r="D62"/>
  <c r="D72"/>
  <c r="D38"/>
  <c r="D31"/>
  <c r="D20"/>
  <c r="D13"/>
  <c r="D14"/>
  <c r="D17"/>
  <c r="D16"/>
  <c r="D49" i="60"/>
  <c r="C77"/>
  <c r="C18"/>
  <c r="D17"/>
  <c r="D18"/>
  <c r="D69"/>
  <c r="D77" s="1"/>
  <c r="D62"/>
  <c r="D45"/>
  <c r="D38"/>
  <c r="D31"/>
  <c r="D27"/>
  <c r="D20"/>
  <c r="D16"/>
  <c r="D14"/>
  <c r="D13"/>
  <c r="D75" i="66" l="1"/>
  <c r="C79" i="65"/>
  <c r="C79" i="64"/>
  <c r="D79" i="67"/>
  <c r="D79" i="65"/>
  <c r="D69" i="62"/>
  <c r="D73" i="61"/>
  <c r="D50" i="58"/>
  <c r="D17"/>
  <c r="D19"/>
  <c r="D16"/>
  <c r="D18"/>
  <c r="D14"/>
  <c r="D66" i="59"/>
  <c r="D58"/>
  <c r="D41"/>
  <c r="D34"/>
  <c r="D27"/>
  <c r="D23"/>
  <c r="D16"/>
  <c r="D14"/>
  <c r="D13"/>
  <c r="D71" i="58"/>
  <c r="D46"/>
  <c r="D39"/>
  <c r="D32"/>
  <c r="D28"/>
  <c r="D21"/>
  <c r="D13"/>
  <c r="D47" i="56"/>
  <c r="C16"/>
  <c r="D16" s="1"/>
  <c r="D67"/>
  <c r="D60"/>
  <c r="D43"/>
  <c r="D36"/>
  <c r="D29"/>
  <c r="D25"/>
  <c r="D18"/>
  <c r="D14"/>
  <c r="D13"/>
  <c r="D49" i="55"/>
  <c r="C18"/>
  <c r="C77" s="1"/>
  <c r="D69"/>
  <c r="D62"/>
  <c r="D45"/>
  <c r="D38"/>
  <c r="D31"/>
  <c r="D27"/>
  <c r="D20"/>
  <c r="D17"/>
  <c r="D16"/>
  <c r="D14"/>
  <c r="D13"/>
  <c r="D49" i="54"/>
  <c r="D78"/>
  <c r="C18"/>
  <c r="C79" s="1"/>
  <c r="D17"/>
  <c r="D16"/>
  <c r="D76" i="7"/>
  <c r="C76"/>
  <c r="D46" i="41"/>
  <c r="D76"/>
  <c r="C76"/>
  <c r="C77" i="53"/>
  <c r="D16"/>
  <c r="C16"/>
  <c r="D71" i="54"/>
  <c r="D62"/>
  <c r="D45"/>
  <c r="D38"/>
  <c r="D31"/>
  <c r="D27"/>
  <c r="D20"/>
  <c r="D14"/>
  <c r="D13"/>
  <c r="D50" i="53"/>
  <c r="D70"/>
  <c r="D63"/>
  <c r="D46"/>
  <c r="D39"/>
  <c r="D32"/>
  <c r="D28"/>
  <c r="D21"/>
  <c r="D14"/>
  <c r="D13"/>
  <c r="D66" i="52"/>
  <c r="D59"/>
  <c r="D42"/>
  <c r="D35"/>
  <c r="D28"/>
  <c r="D24"/>
  <c r="D17"/>
  <c r="D14"/>
  <c r="D13"/>
  <c r="C81" i="51"/>
  <c r="D79"/>
  <c r="C76"/>
  <c r="C16"/>
  <c r="D16" s="1"/>
  <c r="D68"/>
  <c r="D61"/>
  <c r="D48"/>
  <c r="D44"/>
  <c r="D37"/>
  <c r="D30"/>
  <c r="D26"/>
  <c r="D19"/>
  <c r="D14"/>
  <c r="D13"/>
  <c r="D76" i="50"/>
  <c r="D68"/>
  <c r="D61"/>
  <c r="D48"/>
  <c r="D44"/>
  <c r="D37"/>
  <c r="D30"/>
  <c r="D26"/>
  <c r="D19"/>
  <c r="D16"/>
  <c r="D14"/>
  <c r="D13"/>
  <c r="C76"/>
  <c r="C16"/>
  <c r="D50" i="48"/>
  <c r="C18"/>
  <c r="C78" s="1"/>
  <c r="D17"/>
  <c r="D71"/>
  <c r="D64"/>
  <c r="D46"/>
  <c r="D39"/>
  <c r="D32"/>
  <c r="D28"/>
  <c r="D21"/>
  <c r="D18"/>
  <c r="D16"/>
  <c r="D14"/>
  <c r="D13"/>
  <c r="D49" i="47"/>
  <c r="C77"/>
  <c r="D70"/>
  <c r="D63"/>
  <c r="D45"/>
  <c r="D38"/>
  <c r="D31"/>
  <c r="D27"/>
  <c r="D20"/>
  <c r="D17"/>
  <c r="D16"/>
  <c r="D14"/>
  <c r="D13"/>
  <c r="D56" i="46"/>
  <c r="D43"/>
  <c r="D63"/>
  <c r="D39"/>
  <c r="D32"/>
  <c r="D28"/>
  <c r="D22"/>
  <c r="D15"/>
  <c r="D14"/>
  <c r="C70"/>
  <c r="E70" s="1"/>
  <c r="D17"/>
  <c r="C17"/>
  <c r="D20"/>
  <c r="D19"/>
  <c r="D18"/>
  <c r="D51" i="45"/>
  <c r="D19"/>
  <c r="C19"/>
  <c r="C79" s="1"/>
  <c r="D82"/>
  <c r="D13"/>
  <c r="D14"/>
  <c r="D22"/>
  <c r="D29"/>
  <c r="D33"/>
  <c r="D40"/>
  <c r="D47"/>
  <c r="D65"/>
  <c r="D72"/>
  <c r="D18"/>
  <c r="D17"/>
  <c r="D16"/>
  <c r="D49" i="44"/>
  <c r="D63"/>
  <c r="D70"/>
  <c r="D45"/>
  <c r="D38"/>
  <c r="D31"/>
  <c r="D27"/>
  <c r="D20"/>
  <c r="D14"/>
  <c r="D13"/>
  <c r="D17"/>
  <c r="D16"/>
  <c r="C16"/>
  <c r="C78" s="1"/>
  <c r="D48" i="7"/>
  <c r="D74" i="56" l="1"/>
  <c r="C74"/>
  <c r="D79" i="45"/>
  <c r="D83" s="1"/>
  <c r="D78" i="48"/>
  <c r="D77" i="47"/>
  <c r="D79" i="54"/>
  <c r="D18"/>
  <c r="D18" i="55"/>
  <c r="D77" s="1"/>
  <c r="D77" i="53"/>
  <c r="D76" i="51"/>
  <c r="D80" s="1"/>
  <c r="D70" i="46"/>
  <c r="D78" i="44"/>
  <c r="D53" i="43"/>
  <c r="D84"/>
  <c r="D20"/>
  <c r="D21"/>
  <c r="C21"/>
  <c r="D19"/>
  <c r="C19"/>
  <c r="D18"/>
  <c r="C18"/>
  <c r="D17"/>
  <c r="C17"/>
  <c r="C81" s="1"/>
  <c r="D16"/>
  <c r="C16"/>
  <c r="D74"/>
  <c r="D67"/>
  <c r="D49"/>
  <c r="D42"/>
  <c r="D35"/>
  <c r="D31"/>
  <c r="D24"/>
  <c r="D14"/>
  <c r="D13"/>
  <c r="D50" i="42"/>
  <c r="D18"/>
  <c r="C18"/>
  <c r="C78" s="1"/>
  <c r="C17"/>
  <c r="D17" s="1"/>
  <c r="D16"/>
  <c r="C16"/>
  <c r="D71"/>
  <c r="D78" s="1"/>
  <c r="D64"/>
  <c r="D46"/>
  <c r="D39"/>
  <c r="D32"/>
  <c r="D28"/>
  <c r="D21"/>
  <c r="D14"/>
  <c r="D13"/>
  <c r="D60" i="41"/>
  <c r="D42"/>
  <c r="D35"/>
  <c r="D28"/>
  <c r="D24"/>
  <c r="D17"/>
  <c r="D14"/>
  <c r="D13"/>
  <c r="D68"/>
  <c r="C78" i="32"/>
  <c r="D18"/>
  <c r="C17"/>
  <c r="D17" s="1"/>
  <c r="D77" i="40"/>
  <c r="C77"/>
  <c r="D17"/>
  <c r="C16"/>
  <c r="C15"/>
  <c r="D15" s="1"/>
  <c r="D16"/>
  <c r="D31"/>
  <c r="D69"/>
  <c r="D62"/>
  <c r="D49"/>
  <c r="D45"/>
  <c r="D38"/>
  <c r="D27"/>
  <c r="D20"/>
  <c r="D13"/>
  <c r="D12"/>
  <c r="D77" i="39"/>
  <c r="C77"/>
  <c r="D17"/>
  <c r="D16"/>
  <c r="D69"/>
  <c r="D62"/>
  <c r="D49"/>
  <c r="D45"/>
  <c r="D38"/>
  <c r="D31"/>
  <c r="D27"/>
  <c r="D20"/>
  <c r="D14"/>
  <c r="D13"/>
  <c r="D48" i="37"/>
  <c r="D68"/>
  <c r="D61"/>
  <c r="D44"/>
  <c r="D37"/>
  <c r="D30"/>
  <c r="D26"/>
  <c r="D75" s="1"/>
  <c r="D19"/>
  <c r="D14"/>
  <c r="D13"/>
  <c r="C75"/>
  <c r="D16"/>
  <c r="C16"/>
  <c r="D49" i="36"/>
  <c r="C76"/>
  <c r="C17"/>
  <c r="D79"/>
  <c r="D69"/>
  <c r="D62"/>
  <c r="D45"/>
  <c r="D38"/>
  <c r="D31"/>
  <c r="D27"/>
  <c r="D20"/>
  <c r="D17"/>
  <c r="D16"/>
  <c r="D14"/>
  <c r="D13"/>
  <c r="D54" i="35"/>
  <c r="D81" s="1"/>
  <c r="C81"/>
  <c r="D17"/>
  <c r="D18"/>
  <c r="C19"/>
  <c r="D19" s="1"/>
  <c r="C21"/>
  <c r="D21" s="1"/>
  <c r="C22"/>
  <c r="D22" s="1"/>
  <c r="D50" i="34"/>
  <c r="D74" i="35"/>
  <c r="D67"/>
  <c r="D50"/>
  <c r="D43"/>
  <c r="D36"/>
  <c r="D32"/>
  <c r="D25"/>
  <c r="D16"/>
  <c r="D14"/>
  <c r="D13"/>
  <c r="C78" i="34"/>
  <c r="D81" i="43" l="1"/>
  <c r="D85" s="1"/>
  <c r="D76" i="36"/>
  <c r="D80" s="1"/>
  <c r="D20" i="35"/>
  <c r="D78" i="34"/>
  <c r="D18"/>
  <c r="C18"/>
  <c r="D17"/>
  <c r="C17"/>
  <c r="C16"/>
  <c r="D16" s="1"/>
  <c r="D70"/>
  <c r="D63"/>
  <c r="D46"/>
  <c r="D39"/>
  <c r="D32"/>
  <c r="D28"/>
  <c r="D21"/>
  <c r="D14"/>
  <c r="D13"/>
  <c r="D46" i="33"/>
  <c r="D73" s="1"/>
  <c r="C73"/>
  <c r="D66"/>
  <c r="D59"/>
  <c r="D42"/>
  <c r="D35"/>
  <c r="D28"/>
  <c r="D24"/>
  <c r="D17"/>
  <c r="D14"/>
  <c r="D13"/>
  <c r="D77" i="31"/>
  <c r="C77"/>
  <c r="D17"/>
  <c r="D16"/>
  <c r="D81" i="32"/>
  <c r="D70"/>
  <c r="D63"/>
  <c r="D50"/>
  <c r="D46"/>
  <c r="D39"/>
  <c r="D32"/>
  <c r="D28"/>
  <c r="D21"/>
  <c r="D14"/>
  <c r="D13"/>
  <c r="D69" i="31"/>
  <c r="D62"/>
  <c r="D49"/>
  <c r="D45"/>
  <c r="D38"/>
  <c r="D31"/>
  <c r="D14"/>
  <c r="D13"/>
  <c r="D27"/>
  <c r="D20"/>
  <c r="D42" i="30"/>
  <c r="D69"/>
  <c r="C69"/>
  <c r="C42"/>
  <c r="D62"/>
  <c r="D55"/>
  <c r="D38"/>
  <c r="D31"/>
  <c r="D27"/>
  <c r="D20"/>
  <c r="D14"/>
  <c r="D13"/>
  <c r="D16"/>
  <c r="D17"/>
  <c r="C17"/>
  <c r="D78" i="29"/>
  <c r="D28"/>
  <c r="D21"/>
  <c r="C78"/>
  <c r="C17"/>
  <c r="C18"/>
  <c r="D66" i="28"/>
  <c r="D39"/>
  <c r="C66"/>
  <c r="D59"/>
  <c r="D52"/>
  <c r="D35"/>
  <c r="D28"/>
  <c r="D24"/>
  <c r="D17"/>
  <c r="D14"/>
  <c r="D13"/>
  <c r="D78" i="32" l="1"/>
  <c r="D82" s="1"/>
  <c r="D81" i="27"/>
  <c r="D19"/>
  <c r="D16"/>
  <c r="D21"/>
  <c r="D20"/>
  <c r="C19"/>
  <c r="D18"/>
  <c r="C18"/>
  <c r="C17"/>
  <c r="D17" s="1"/>
  <c r="C16"/>
  <c r="C81"/>
  <c r="D73"/>
  <c r="D66"/>
  <c r="D53"/>
  <c r="D49"/>
  <c r="D42"/>
  <c r="D35"/>
  <c r="D31"/>
  <c r="D24"/>
  <c r="D14"/>
  <c r="D13"/>
  <c r="D46" i="25"/>
  <c r="C73"/>
  <c r="D66"/>
  <c r="D59"/>
  <c r="D42"/>
  <c r="D35"/>
  <c r="D28"/>
  <c r="D24"/>
  <c r="D17"/>
  <c r="D14"/>
  <c r="D13"/>
  <c r="D46" i="24"/>
  <c r="D73"/>
  <c r="C73"/>
  <c r="D66"/>
  <c r="D59"/>
  <c r="D42"/>
  <c r="D35"/>
  <c r="D28"/>
  <c r="D24"/>
  <c r="D17"/>
  <c r="D14"/>
  <c r="D13"/>
  <c r="D50" i="23"/>
  <c r="D77"/>
  <c r="C77"/>
  <c r="D16"/>
  <c r="D17"/>
  <c r="D18"/>
  <c r="C76" i="22"/>
  <c r="D70" i="23"/>
  <c r="D63"/>
  <c r="D46"/>
  <c r="D39"/>
  <c r="D32"/>
  <c r="D28"/>
  <c r="D21"/>
  <c r="D14"/>
  <c r="D13"/>
  <c r="D49" i="22"/>
  <c r="D16"/>
  <c r="D17"/>
  <c r="D69"/>
  <c r="D62"/>
  <c r="D45"/>
  <c r="D38"/>
  <c r="D31"/>
  <c r="D27"/>
  <c r="D20"/>
  <c r="D14"/>
  <c r="D13"/>
  <c r="D46" i="21"/>
  <c r="C73"/>
  <c r="D66"/>
  <c r="D59"/>
  <c r="D42"/>
  <c r="D35"/>
  <c r="D28"/>
  <c r="D24"/>
  <c r="D17"/>
  <c r="D14"/>
  <c r="D13"/>
  <c r="D46" i="20"/>
  <c r="C73"/>
  <c r="D66"/>
  <c r="D59"/>
  <c r="D42"/>
  <c r="D35"/>
  <c r="D28"/>
  <c r="D24"/>
  <c r="D17"/>
  <c r="D14"/>
  <c r="D13"/>
  <c r="D46" i="19"/>
  <c r="D73"/>
  <c r="C73"/>
  <c r="D66"/>
  <c r="D59"/>
  <c r="D42"/>
  <c r="D35"/>
  <c r="D28"/>
  <c r="D24"/>
  <c r="D17"/>
  <c r="D14"/>
  <c r="D13"/>
  <c r="D46" i="18"/>
  <c r="C73"/>
  <c r="D66"/>
  <c r="D59"/>
  <c r="D42"/>
  <c r="D35"/>
  <c r="D28"/>
  <c r="D24"/>
  <c r="D17"/>
  <c r="D14"/>
  <c r="D13"/>
  <c r="D46" i="17"/>
  <c r="D73"/>
  <c r="D66"/>
  <c r="D59"/>
  <c r="D42"/>
  <c r="D35"/>
  <c r="D28"/>
  <c r="D24"/>
  <c r="D17"/>
  <c r="D14"/>
  <c r="D13"/>
  <c r="C73"/>
  <c r="D65" i="16"/>
  <c r="D38"/>
  <c r="C65"/>
  <c r="E65" s="1"/>
  <c r="D58"/>
  <c r="D51"/>
  <c r="D34"/>
  <c r="D27"/>
  <c r="D23"/>
  <c r="D17"/>
  <c r="D15"/>
  <c r="D14"/>
  <c r="D48" i="15"/>
  <c r="C16"/>
  <c r="C75" s="1"/>
  <c r="D68"/>
  <c r="D61"/>
  <c r="D44"/>
  <c r="D37"/>
  <c r="D30"/>
  <c r="D26"/>
  <c r="D19"/>
  <c r="D14"/>
  <c r="D13"/>
  <c r="D48" i="14"/>
  <c r="D75"/>
  <c r="D19"/>
  <c r="D68"/>
  <c r="D61"/>
  <c r="D44"/>
  <c r="C75"/>
  <c r="D37"/>
  <c r="D30"/>
  <c r="D26"/>
  <c r="D14"/>
  <c r="D13"/>
  <c r="D16"/>
  <c r="D51" i="12"/>
  <c r="D29"/>
  <c r="D78"/>
  <c r="C78"/>
  <c r="D19"/>
  <c r="D18"/>
  <c r="D17"/>
  <c r="D16"/>
  <c r="D71"/>
  <c r="D64"/>
  <c r="D47"/>
  <c r="D40"/>
  <c r="D33"/>
  <c r="D22"/>
  <c r="D14"/>
  <c r="D13"/>
  <c r="D73" i="25" l="1"/>
  <c r="D76" i="22"/>
  <c r="D73" i="21"/>
  <c r="D73" i="20"/>
  <c r="D73" i="18"/>
  <c r="D75" i="15"/>
  <c r="D43" i="11"/>
  <c r="D70"/>
  <c r="D75" s="1"/>
  <c r="D63"/>
  <c r="D56"/>
  <c r="D28"/>
  <c r="D22"/>
  <c r="D17"/>
  <c r="D15"/>
  <c r="D14"/>
  <c r="C70"/>
  <c r="E70" s="1"/>
  <c r="D18"/>
  <c r="D39"/>
  <c r="D32"/>
  <c r="D20"/>
  <c r="D19"/>
  <c r="D45" i="10"/>
  <c r="D58"/>
  <c r="D22" l="1"/>
  <c r="D21"/>
  <c r="D20"/>
  <c r="D19"/>
  <c r="D18"/>
  <c r="D17"/>
  <c r="D24"/>
  <c r="D65"/>
  <c r="D41"/>
  <c r="D34"/>
  <c r="D30"/>
  <c r="D15"/>
  <c r="D14"/>
  <c r="D53" i="9"/>
  <c r="D60"/>
  <c r="D40"/>
  <c r="D36"/>
  <c r="D29"/>
  <c r="D25"/>
  <c r="D19"/>
  <c r="D17"/>
  <c r="D15"/>
  <c r="D14"/>
  <c r="C67"/>
  <c r="E67" s="1"/>
  <c r="D67" l="1"/>
  <c r="D16" i="7"/>
  <c r="D69"/>
  <c r="D61"/>
  <c r="D44"/>
  <c r="D37"/>
  <c r="D30"/>
  <c r="D26"/>
  <c r="D19"/>
  <c r="D14"/>
  <c r="D13"/>
  <c r="D46" i="6"/>
  <c r="D17"/>
  <c r="D14"/>
  <c r="D13"/>
  <c r="C73"/>
  <c r="D59" l="1"/>
  <c r="D42"/>
  <c r="D35"/>
  <c r="D28"/>
  <c r="D24"/>
  <c r="D73" s="1"/>
  <c r="D72" i="10" l="1"/>
  <c r="C72"/>
  <c r="E72" s="1"/>
</calcChain>
</file>

<file path=xl/sharedStrings.xml><?xml version="1.0" encoding="utf-8"?>
<sst xmlns="http://schemas.openxmlformats.org/spreadsheetml/2006/main" count="7034" uniqueCount="353">
  <si>
    <t xml:space="preserve">Отчет о выполненных работах и оказанных услугах по содержанию общего имущества </t>
  </si>
  <si>
    <t>Наименование работ</t>
  </si>
  <si>
    <t>Периодичность</t>
  </si>
  <si>
    <t>Стоимость работ (руб.)</t>
  </si>
  <si>
    <t>Стоимость работ (руб.)/м2 в год</t>
  </si>
  <si>
    <t>Конструктивные элементы здания</t>
  </si>
  <si>
    <t>Осмотры конструктивных элементов: кровель с проверкой состояния слуховых окон, вентиляционных каналов, наличия тяги, техническое состояние вент. Шахт, фундаментов, отмосток, цоколей, проверка состояния продухов, подвала и его температурно-влажностного режима, конструкций стен и фасадов, состояния внутренней отделки, дверей подвалов, технических подполий, запорных устройств на них, входов в подъезды. Проверка соответствия параметров вертикальной планировки территории вокруг здания проектным параметрам, состояния утеплителя, гидроизоляции, адгезии отделочных слоев к конструкциям перекрытия (покрытия), температурно-влажностного режима и воздухообмена на чердаке, с составлением акта технического осмотра здания. Контроль технического состояния контейнерной площадки.</t>
  </si>
  <si>
    <t>Май, октябрь</t>
  </si>
  <si>
    <t xml:space="preserve">Мелкий ремонт кровли, конька, разделок и примыканий, дверей, дверных блоков, замена разбитых стекол, ремонт просевшей отмостки, изоляции утеплителя, слуховых окон, боровов, козырьков над входами в подъезд, восстановление отделки стен, потолков, поручней, детских и спортивных площадок, лавочек, вешалов, очистка кровли от снега, наледи, сосулек, грязи, мусора, мелкий ремонт мягкой кровли до 2 м2, шиферной кровли до5 м2, прочистка дымовентиляционных каналов, герметизация межпанельных швов до 2-х метров в одном месте, дератизация, дезинсекция помещений, входящих в состав общего имущества МКД, ремонт контейнерных площадок.  </t>
  </si>
  <si>
    <t>В течение действия договора</t>
  </si>
  <si>
    <t>Ремонт:</t>
  </si>
  <si>
    <t>Уборка придомовой территории</t>
  </si>
  <si>
    <t>Уборка территории МКД (усовершенствованное покрытие, тротуары)</t>
  </si>
  <si>
    <t>Уборка газонов от мусора</t>
  </si>
  <si>
    <t>Уборка территории МКД без покрытия</t>
  </si>
  <si>
    <t>Выкашивание газонов</t>
  </si>
  <si>
    <t>Уборка от снега и наледи площадок перед подъездами, тротуаров</t>
  </si>
  <si>
    <t>Уборка помещений общего пользования</t>
  </si>
  <si>
    <t>Сухая уборка помещений общего пользования</t>
  </si>
  <si>
    <t>Влажная уборка помещений общего пользования</t>
  </si>
  <si>
    <t>Внутридомовое инженерное оборудование:</t>
  </si>
  <si>
    <t>Система холодного водоснабжения</t>
  </si>
  <si>
    <t>Заделка свищей, устранение течи (установка хомута, сварочные работы) на трубопроводах ХВС.</t>
  </si>
  <si>
    <t>в теч.действ.догов.</t>
  </si>
  <si>
    <t>Плановая ревизия вентилей ХВС ( уплотнение сгонов, устранение течи и т.д.).</t>
  </si>
  <si>
    <t>июль</t>
  </si>
  <si>
    <t>Плановая ревизия задвижек ХВС (д=50 мм – июль), (набивка сальников, уплотнение соединений ).</t>
  </si>
  <si>
    <t>Замена небольших участков внутренних систем ХВС в МОП (сварочные работы) до 2 м.</t>
  </si>
  <si>
    <t>Промывка внутридомовых систем трубопровода ХВ</t>
  </si>
  <si>
    <t>Устранение аварийных ситуаций системы водоснабжения, сопутствующие работы</t>
  </si>
  <si>
    <t>Система водоотведения</t>
  </si>
  <si>
    <t>Прочистка канализационных сетей</t>
  </si>
  <si>
    <t>Прочистка лежака</t>
  </si>
  <si>
    <t>Устранение аварийных ситуаций системы канализации, сопутствующие работы</t>
  </si>
  <si>
    <t>Система отопления</t>
  </si>
  <si>
    <t>Проверка исправности и работоспособности оборудования, выполнение наладочных и ремонтных работ на индивидуальных тепловых пунктах в доме.</t>
  </si>
  <si>
    <t>Плановая ревизия вентилей отопления (уплотнение сгонов, устранение течи и т.д.).</t>
  </si>
  <si>
    <t>Плановая ревизия задвижек отопления (набивка сальников, уплотнение соединений).</t>
  </si>
  <si>
    <t>Ликвидация воздушных пробок в системе отопления.</t>
  </si>
  <si>
    <t>Снятие параметров, постоянный контроль параметров теплоносителя и воды (давления, температуры, расхода), восстановление требуемых параметров и герметичности оборудования.</t>
  </si>
  <si>
    <t>Подготовка к зиме</t>
  </si>
  <si>
    <t>Ремонт запорно-регулирующей арматуры ТУ:</t>
  </si>
  <si>
    <t>Ремонт и ревизия вентилей ТУ</t>
  </si>
  <si>
    <t>Ремонт и ревизия задвижек ТУ</t>
  </si>
  <si>
    <t>Прочистка грязевиков и фильтров</t>
  </si>
  <si>
    <t xml:space="preserve">Промывка  и испытание системы отопления </t>
  </si>
  <si>
    <t>Устранение аварийных ситуаций системы центрального отопления, сопутствующие работы</t>
  </si>
  <si>
    <t>Электроснабжение</t>
  </si>
  <si>
    <t>Планово-профилактический ремонт ВРУ</t>
  </si>
  <si>
    <t>Осмотр линий электрических сетей, арматуры и электрооборудования: силовые установки.</t>
  </si>
  <si>
    <t>Замеры сопротивления изоляции проводов в МОП, проверка и обеспечение работоспособности устройств защитного отключения.</t>
  </si>
  <si>
    <t>Замена предохранителей, мелкий ремонт эл.проводки</t>
  </si>
  <si>
    <t>Устранение аварийных ситуаций системы электроснабжения, сопутствующие работы</t>
  </si>
  <si>
    <t>Проверка заземления ванн.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</si>
  <si>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</si>
  <si>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неисправности.</t>
  </si>
  <si>
    <t>Сбор и вывоз твердых бытовых отходов</t>
  </si>
  <si>
    <t>ИТОГО: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</si>
  <si>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2015 года</t>
    </r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</si>
  <si>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</si>
  <si>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</si>
  <si>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</si>
  <si>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</si>
  <si>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______   кв.м.</t>
  </si>
  <si>
    <t>2 категория</t>
  </si>
  <si>
    <t>1 категория</t>
  </si>
  <si>
    <t>Система горячего водоснабжения</t>
  </si>
  <si>
    <t>Заделка свищей, устранение течи (установка хомута, сварочные работы) на трубопроводах ГВС</t>
  </si>
  <si>
    <t>Плановая ревизия вентилей ГВС ( уплотнение сгонов, устранение течи и т.д.)</t>
  </si>
  <si>
    <t>Плановая ревизия задвижек ГВС ( набивка сальников, уплотнение соединений )</t>
  </si>
  <si>
    <t>Замена небольших участков внутренних систем ГВС в МОП (сварочные работы) до 2 м</t>
  </si>
  <si>
    <t>Устранение аварийных ситуаций водопровод ГВ, сопутствующие работы</t>
  </si>
  <si>
    <t xml:space="preserve">Промывка внутридомовых систем трубопровода ГВ </t>
  </si>
  <si>
    <t>Общая жиая площадь МКД  ______   кв.м.</t>
  </si>
  <si>
    <t xml:space="preserve">Площадь подвальных помещений,                  кв.м.       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</si>
  <si>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мая по 31 декабря 2015 года</t>
    </r>
  </si>
  <si>
    <t>5раз в неделю</t>
  </si>
  <si>
    <t>июнь,август</t>
  </si>
  <si>
    <t>1 раз в месяц</t>
  </si>
  <si>
    <t>1 раз в неделю</t>
  </si>
  <si>
    <t>в течение срока действия договора</t>
  </si>
  <si>
    <t>август</t>
  </si>
  <si>
    <t>Май</t>
  </si>
  <si>
    <t>в отопительный период</t>
  </si>
  <si>
    <t>апрель,октябрь</t>
  </si>
  <si>
    <t>май</t>
  </si>
  <si>
    <t>Аварийная -диспетчерская служба:</t>
  </si>
  <si>
    <t>круглосуточно</t>
  </si>
  <si>
    <t>ежедневно</t>
  </si>
  <si>
    <t>июнь</t>
  </si>
  <si>
    <t xml:space="preserve">Восстановление шиферной кровли  до 5 м2, конька, разделок и примыканий,  восстановление изоляции утеплителя,  ремонт слуховых окон, боровов; ремонт дверей, дверных блоков; замена разбитых стекол; ремонт просевшей отмостки; ремонт козырьков над входами в подъезд;  восстановление отделки стен, потолков, поручней; окрашивание и ремонт детских и спортивных площадок, лавочек, вешалов; очистка кровли от снега, наледи, сосулек; очистка чердачных помещений и подвалов от мусора; прочистка дымовентиляционных каналов;  герметизация межпанельных швов до 2-х метров в одном месте;  дератизация, дезинсекция помещений, входящих в состав общего имущества МКД, ремонт контейнерной площадки.  </t>
  </si>
  <si>
    <t>Сбор и вывоз твердых бытовых отходов.</t>
  </si>
  <si>
    <t>Вывоз крупногабаритных предметов домашнего обихода.</t>
  </si>
  <si>
    <t>Уборка площадок для размещение мусорных контейнеров.</t>
  </si>
  <si>
    <t>Холодный период года:</t>
  </si>
  <si>
    <t>холодный период года</t>
  </si>
  <si>
    <t>Подготовка к отопительному сезону:</t>
  </si>
  <si>
    <t>Отключение  участков инженерных сетей,  слив отключенных участков систем центрального отопления и обратное наполнение с пуском системы после устранения неисправности, выполнение заявок населения, аварийно-диспетчерская служба.</t>
  </si>
  <si>
    <t>Теплый период года: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</si>
  <si>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7 по ул.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</si>
  <si>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рек 2012</t>
  </si>
  <si>
    <t>нет</t>
  </si>
  <si>
    <t>07 августа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</si>
  <si>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5 по ул.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</si>
  <si>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01 августа</t>
  </si>
  <si>
    <t>Изготовление и установка забора палисадника  26м</t>
  </si>
  <si>
    <t>июнь-июль</t>
  </si>
  <si>
    <t>апрель</t>
  </si>
  <si>
    <t>октябрь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</si>
  <si>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26 по ул Зеленая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</si>
  <si>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февраля по 31 декабря 2015 года</t>
    </r>
  </si>
  <si>
    <t>Ремонт внутридомовы электрических сетей мест общего пользовани</t>
  </si>
  <si>
    <t>сентябрь</t>
  </si>
  <si>
    <t>1 раз месяц</t>
  </si>
  <si>
    <t>май,</t>
  </si>
  <si>
    <t>03-06 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</si>
  <si>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30 по ул Зеленая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</si>
  <si>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09-10 июля</t>
  </si>
  <si>
    <t>Косметический ремонт подъезда №4</t>
  </si>
  <si>
    <t>Установка датчиков движения на подъездное освещение 20шт</t>
  </si>
  <si>
    <t>Остекление оконных рам (1,73)</t>
  </si>
  <si>
    <t>Изготовление и монтаж забора  палисадника (52м)</t>
  </si>
  <si>
    <t>Изгототовление и установка   дверного блока 2шт</t>
  </si>
  <si>
    <t>Планировка дворой территории</t>
  </si>
  <si>
    <t>Организация проверки состояния системы внутридомового газового оборудования  и ее отдельных элементов</t>
  </si>
  <si>
    <t>1раз в год</t>
  </si>
  <si>
    <t>июнь,</t>
  </si>
  <si>
    <t>май,июнь</t>
  </si>
  <si>
    <t>26-27 июня</t>
  </si>
  <si>
    <t>Косметический ремонт подъезда №2</t>
  </si>
  <si>
    <t>Установка датчиков движения на подъездное освещение 1шт</t>
  </si>
  <si>
    <t>Остекление оконных рам (4,73)</t>
  </si>
  <si>
    <t>Изгототовление и установка   лавочек  (2шт)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</si>
  <si>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217 по ул 9Мая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</si>
  <si>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декабрь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</si>
  <si>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3 по пер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</si>
  <si>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Изготовление и монтаж забора  палисадника (36м)</t>
  </si>
  <si>
    <t>Изготовление  и установка оконных рам 2шт</t>
  </si>
  <si>
    <t>Остекление оконных рам 8,23</t>
  </si>
  <si>
    <t>Изготовление и установка водосточных труб по фасаду (15м)</t>
  </si>
  <si>
    <t>ноябрь</t>
  </si>
  <si>
    <t xml:space="preserve"> август</t>
  </si>
  <si>
    <t>12-13 августа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</si>
  <si>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7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</si>
  <si>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Изготовление и установка  тамбурных дверей (1шт)</t>
  </si>
  <si>
    <t>22-23июля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</si>
  <si>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217/2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</si>
  <si>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30 июня</t>
  </si>
  <si>
    <t>Изготовление и установка  слуховых окон (2шт)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</si>
  <si>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219 по ул 9Мая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</si>
  <si>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02 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</si>
  <si>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123В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</si>
  <si>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11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</si>
  <si>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Б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</si>
  <si>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10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</si>
  <si>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Г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</si>
  <si>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Д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</si>
  <si>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15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</si>
  <si>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А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</si>
  <si>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Изготовление и установка  оконных рам (1шт)</t>
  </si>
  <si>
    <t>Остекление оконных рам (1,62м2)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</si>
  <si>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9/1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</si>
  <si>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9/2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</si>
  <si>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19-20июля</t>
  </si>
  <si>
    <t>Планировка дворовой  территории (1раз)</t>
  </si>
  <si>
    <t xml:space="preserve">Заключение с РСО договоров на поставку   ЖКУ; контроль за качеством поставляемых ЖКУ;  начисление платы за ЖКУ; печать и доставка квитанций на оплату ЖКУ; ведение лицевых счетов; взыскание задолженности за ЖКУ; организация общих собраний собственников помещений в МКД.  </t>
  </si>
  <si>
    <t>Ремонт контейнерной площадки (замена 5 плит и 1столб)</t>
  </si>
  <si>
    <t>Изготовление и установка лавочки (1шт)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</si>
  <si>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</si>
  <si>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23-24июля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</si>
  <si>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11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</si>
  <si>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21-22июля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</si>
  <si>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208 по ул. 9Мая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</si>
  <si>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28 февраля по 31 декабря 2015 года</t>
    </r>
  </si>
  <si>
    <t>14-15 июля</t>
  </si>
  <si>
    <t>Изготовление и монтаж забора палисадника (28м)</t>
  </si>
  <si>
    <t>Изготовление и монтаж лавочек (4шт)</t>
  </si>
  <si>
    <t>Установка датчиков движения на подъездное освещение  (3шт)</t>
  </si>
  <si>
    <t>Изготовление и установка БУМА на площадке (1шт)</t>
  </si>
  <si>
    <t>Монтаж фонарей освещения над входом в подъезд (3шт)</t>
  </si>
  <si>
    <t>Изготовление и установка тамбурных дверей (1шт)</t>
  </si>
  <si>
    <t>Льгота  председателю Совета МКД за жилищные услуги (57,8м2)</t>
  </si>
  <si>
    <t>март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</si>
  <si>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221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</si>
  <si>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26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</si>
  <si>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4А по пер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</si>
  <si>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Ремонт отмостки (12м2)</t>
  </si>
  <si>
    <t>Ремонт отдельных мест покрытия из асбоцементных листов   (31,68м2)</t>
  </si>
  <si>
    <t>Ремонт коньковой доски (30м)</t>
  </si>
  <si>
    <t>Льгота  председателю Совета МКД за жилищные услуги (93,4м2)</t>
  </si>
  <si>
    <t>17-19 августа</t>
  </si>
  <si>
    <t xml:space="preserve"> июнь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</si>
  <si>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225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</si>
  <si>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23 июня</t>
  </si>
  <si>
    <t>Изготовление и установка оконных рам (2шт)</t>
  </si>
  <si>
    <t>Остекление оконных рам (3,13 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</si>
  <si>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</si>
  <si>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апреля по 31 декабря 2015 года</t>
    </r>
  </si>
  <si>
    <t>03-04 июня</t>
  </si>
  <si>
    <t>Изготовление и установка двери в подвал (1шт)</t>
  </si>
  <si>
    <t>Изготовление и монтаж забора палисадника (24м)</t>
  </si>
  <si>
    <t>Льгота  председателю Совета МКД за жилищные услуги (58,7м2)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</si>
  <si>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60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</si>
  <si>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25 апреля по 31 декабря 2015 года</t>
    </r>
  </si>
  <si>
    <t>Установка датчиков движения на подъездное освещение  (24шт)</t>
  </si>
  <si>
    <t>Ремонт отмостки ( 54 м2)</t>
  </si>
  <si>
    <t>Изготовление и монтаж лавочек (3шт)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</si>
  <si>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125Б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</si>
  <si>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01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</si>
  <si>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8 по пер Зейский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</si>
  <si>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Монтаж фонарей освщения над входом в подъезд-4шт</t>
  </si>
  <si>
    <t>Изготовление и монтаж горки (1шт)</t>
  </si>
  <si>
    <t>Льгота  председателю Совета МКД за жилищные услуги (80,9м2)</t>
  </si>
  <si>
    <t>24-25июля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</si>
  <si>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210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</si>
  <si>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11-12июля</t>
  </si>
  <si>
    <t>Косметический ремонт подъезда (1,2,34)</t>
  </si>
  <si>
    <t>Монтаж датчиков движения на подъездное освещения (4шт)</t>
  </si>
  <si>
    <t>Ремонт отмостки (40м2)</t>
  </si>
  <si>
    <t>Изготовление и монтаж лавочек (1шт)</t>
  </si>
  <si>
    <t>Остекление оконных рам (24,17 м2)</t>
  </si>
  <si>
    <t>Изготовление и установка оконных рам (7шт)</t>
  </si>
  <si>
    <t>Установка тамбурных дверей (1шт)</t>
  </si>
  <si>
    <t>июнь, июль</t>
  </si>
  <si>
    <t>июнь,июль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</si>
  <si>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 по пер Весенний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</si>
  <si>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11-12августа</t>
  </si>
  <si>
    <t>Остекление оконных рам (6,76 м2)</t>
  </si>
  <si>
    <t>Изготовление и монтаж лавочки , стола (1шт)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</si>
  <si>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 по ул Озерная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</si>
  <si>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Изготовление и монтаж тамбурных дверей (1шт)</t>
  </si>
  <si>
    <t>11-12сентября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</si>
  <si>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июня по 31 декабря 2015 года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</si>
  <si>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60/2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</si>
  <si>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05-06- мая</t>
  </si>
  <si>
    <t>Монтаж датчиков движения на подъездное освещение (24 шт)</t>
  </si>
  <si>
    <t>Ремонт отмостки (35,1 м2)</t>
  </si>
  <si>
    <t>Льгота  председателю Совета МКД за жилищные услуги (59,5м2)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</si>
  <si>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сентября по 31 декабря 2015 года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</si>
  <si>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24А  по ул Зеленая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</si>
  <si>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Льгота  председателю Совета МКД за жилищные услуги (63,7м2)</t>
  </si>
  <si>
    <t>08-09 сентября</t>
  </si>
  <si>
    <t>Остекление оконных рам  (5,04 м2)</t>
  </si>
  <si>
    <t>Льгота  председателю Совета МКД за жилищные услуги (47,8м2)</t>
  </si>
  <si>
    <t>07-08 май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</si>
  <si>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</si>
  <si>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28-29 мая</t>
  </si>
  <si>
    <t>Льгота  председателю Совета МКД за жилищные услуги (50,1м2)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</si>
  <si>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57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</si>
  <si>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Монтаж фонарей освещения над входом в подъезд (1шт)</t>
  </si>
  <si>
    <t>Остекление оконных рам  (3,59 м2)</t>
  </si>
  <si>
    <t>Изготовление навеса над входом в подвал (2шт)</t>
  </si>
  <si>
    <t>10-11 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</si>
  <si>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27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</si>
  <si>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Монтаж фонарей освещения над входом в подъезд (4шт)</t>
  </si>
  <si>
    <t>Остекление оконных рам  (18,52 м2)</t>
  </si>
  <si>
    <t>Ремонт отмостки (19м2)</t>
  </si>
  <si>
    <t>Изготовление и установка оконных рам (14шт)</t>
  </si>
  <si>
    <t>Изготовление и монтаж лавочки (1шт)</t>
  </si>
  <si>
    <t>Изготовление и устройство палисадника (14,5 м)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</si>
  <si>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170А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</si>
  <si>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апреля  по 31 декабря 2015 года</t>
    </r>
  </si>
  <si>
    <t>Изготовление и установка оконных рам (6шт)</t>
  </si>
  <si>
    <t>Остекление оконных рам  (10,23 м2)</t>
  </si>
  <si>
    <t>Льгота  председателю Совета МКД за жилищные услуги (41,9м2)</t>
  </si>
  <si>
    <t>07-08сентября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</si>
  <si>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172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</si>
  <si>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мая   по 31 декабря 2015 года</t>
    </r>
  </si>
  <si>
    <t>Заделка межпанельных швов (36м)</t>
  </si>
  <si>
    <t>Изготовление и монтаж песочницы (1шт)</t>
  </si>
  <si>
    <t>Изготовление и установка  дверей в подвал(2шт)</t>
  </si>
  <si>
    <t>Монтаж фонарей над входом в подъезд (4шт)</t>
  </si>
  <si>
    <t>09- 11сентября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</si>
  <si>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мая  по 31 декабря 2015 года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</si>
  <si>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42 по ул Транспортная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</si>
  <si>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Остекление оконных рам (3,17)</t>
  </si>
  <si>
    <t>Ремонт отмостки (10м2)</t>
  </si>
  <si>
    <t>Установка и монтаж песочницы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</si>
  <si>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ул  2-я Транспортная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</si>
  <si>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15- 16сентября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</si>
  <si>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8 по ул  медицинский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</si>
  <si>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Изготовление и монтаж лавочки (2шт)</t>
  </si>
  <si>
    <t>Остекление оконных рам (22,4м2)</t>
  </si>
  <si>
    <t>февраль</t>
  </si>
  <si>
    <t xml:space="preserve"> </t>
  </si>
  <si>
    <t>7 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</si>
  <si>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121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</si>
  <si>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Льгота  председателю Совета МКД за жилищные услуги (58,4м2)</t>
  </si>
  <si>
    <t>Остеление оконных рам (4,48 м2)</t>
  </si>
  <si>
    <t>3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</si>
  <si>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125А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</si>
  <si>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30 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</si>
  <si>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125В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</si>
  <si>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02 июня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</si>
  <si>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127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</si>
  <si>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Монтаж фонарей освещения  над входом в подъезд(4шт)</t>
  </si>
  <si>
    <t>Изготовление и монтаж скамейки  (4шт)</t>
  </si>
  <si>
    <t>Изготовление и монтаж лавочки (4шт)</t>
  </si>
  <si>
    <t>27 мая</t>
  </si>
  <si>
    <t>Льгота  председателю Совета МКД за жилищные услуги (49м2)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</si>
  <si>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129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</si>
  <si>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 xml:space="preserve"> Монтаж фонарей освещения над входами в подъеде (6шт)</t>
  </si>
  <si>
    <t xml:space="preserve"> Монтаж датчиков движения на подъезное освещение (6шт)</t>
  </si>
  <si>
    <t>Изготовление и монтаж лавочки (3шт)</t>
  </si>
  <si>
    <t>Льгота  председателю Совета МКД за жилищные услуги (52,5м2)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</si>
  <si>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131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</si>
  <si>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16-18мая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</si>
  <si>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133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</si>
  <si>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135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</si>
  <si>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19-20 мая</t>
  </si>
  <si>
    <t>Косметический ремонт подъезда  (1,2,3)</t>
  </si>
  <si>
    <t>Остекление оконных рам (18,3м2)</t>
  </si>
  <si>
    <t xml:space="preserve"> Монтаж датчиков движения на подъезное освещение  (3шт)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</si>
  <si>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137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</si>
  <si>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Остекление оконных рам (5,89м2)</t>
  </si>
  <si>
    <t>21-22мая</t>
  </si>
  <si>
    <t>Льгота  председателю Совета МКД за жилищные услуги (58м2)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</si>
  <si>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175А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</si>
  <si>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14 августа</t>
  </si>
  <si>
    <t>Остекление оконных рам (16,98м2)</t>
  </si>
  <si>
    <t>Изготовление и монтаж оконных рам (15шт)</t>
  </si>
  <si>
    <t>Остекление оконных рам (7,88м2)</t>
  </si>
  <si>
    <t>Планировка дворовой территории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</si>
  <si>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223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</si>
  <si>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32 по ул Зеленая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</si>
  <si>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22 июня</t>
  </si>
  <si>
    <t>Косметический ремонт подъезда (3,4 эт)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</si>
  <si>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 по ул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</si>
  <si>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29-30 июля</t>
  </si>
  <si>
    <t>Монтаж фонарей освещения над входом в подъезд (8шт)</t>
  </si>
  <si>
    <t>Монтаж датчиков движения в подъезде (15шт)</t>
  </si>
  <si>
    <t>Изготовление и монтаж забора полисадника (20м)</t>
  </si>
  <si>
    <t>Изготовление и монтаж оконных рам (10шт)</t>
  </si>
  <si>
    <t>Остекление оконных рам (16,5м2)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</si>
  <si>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</si>
  <si>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Изготовление и монтаж оконных рам (2шт)</t>
  </si>
  <si>
    <t>Остекление оконных рам (2,54м2)</t>
  </si>
  <si>
    <t>Изготовление и монтаж лавочек (2шт)</t>
  </si>
  <si>
    <t>Монтаж датчиков движения в подъезде (4шт)</t>
  </si>
  <si>
    <t>Льгота  председателю Совета МКД за жилищные услуги (43,1м2)</t>
  </si>
  <si>
    <t>17-18 августа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</si>
  <si>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пер Летний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</si>
  <si>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Изготовление и монтаж водосточных труб (25м)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</si>
  <si>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106А по ул Благовещенская 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</si>
  <si>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2015 года</t>
    </r>
  </si>
  <si>
    <t xml:space="preserve">Стоимость работ (руб.) </t>
  </si>
  <si>
    <t>Косметический ремонт подъездов (1,2,3)</t>
  </si>
  <si>
    <t>Монтаж датчиков движения  в подъезде (21шт)</t>
  </si>
  <si>
    <t>Изготовление и монтаж оконных рам (4шт)</t>
  </si>
  <si>
    <t>Остекление оконных рам (10,01м2)</t>
  </si>
  <si>
    <t>02-03 сентября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</si>
  <si>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106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</si>
  <si>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апреля по 31 декабря 2015 года</t>
    </r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</si>
</sst>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3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44" fontId="11" fillId="0" borderId="0" xfId="1" applyFont="1" applyBorder="1"/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justify" vertical="top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/>
    </xf>
    <xf numFmtId="2" fontId="11" fillId="0" borderId="0" xfId="0" applyNumberFormat="1" applyFont="1" applyBorder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2" fontId="1" fillId="0" borderId="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2" fontId="9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4"/>
  <sheetViews>
    <sheetView topLeftCell="A64" workbookViewId="0">
      <selection activeCell="A84" sqref="A84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343</v>
      </c>
      <c r="B2" s="2"/>
      <c r="C2" s="2"/>
      <c r="D2" s="2"/>
    </row>
    <row r="3" spans="1:4">
      <c r="A3" s="1" t="s">
        <v>344</v>
      </c>
      <c r="B3" s="2"/>
      <c r="C3" s="2"/>
      <c r="D3" s="2"/>
    </row>
    <row r="4" spans="1:4">
      <c r="A4" s="25" t="s">
        <v>59</v>
      </c>
      <c r="B4" s="2">
        <v>1977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39</v>
      </c>
      <c r="C7" s="2"/>
      <c r="D7" s="2"/>
    </row>
    <row r="8" spans="1:4">
      <c r="A8" s="25" t="s">
        <v>73</v>
      </c>
      <c r="B8" s="2">
        <v>1901.6</v>
      </c>
      <c r="C8" s="2"/>
      <c r="D8" s="2"/>
    </row>
    <row r="9" spans="1:4">
      <c r="A9" s="25" t="s">
        <v>63</v>
      </c>
      <c r="B9" s="2">
        <v>223.9</v>
      </c>
      <c r="C9" s="2"/>
      <c r="D9" s="2"/>
    </row>
    <row r="10" spans="1:4">
      <c r="A10" s="25" t="s">
        <v>74</v>
      </c>
      <c r="B10" s="48">
        <v>443.2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345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0.14000000000000001</v>
      </c>
      <c r="D13" s="29">
        <f>C13*12*B8</f>
        <v>3194.6880000000001</v>
      </c>
    </row>
    <row r="14" spans="1:4" ht="75.75" customHeight="1">
      <c r="A14" s="6" t="s">
        <v>90</v>
      </c>
      <c r="B14" s="107" t="s">
        <v>9</v>
      </c>
      <c r="C14" s="26">
        <v>1.79</v>
      </c>
      <c r="D14" s="29">
        <f>C14*12*B8</f>
        <v>40846.368000000002</v>
      </c>
    </row>
    <row r="15" spans="1:4">
      <c r="A15" s="6" t="s">
        <v>10</v>
      </c>
      <c r="B15" s="107"/>
      <c r="C15" s="26"/>
      <c r="D15" s="30"/>
    </row>
    <row r="16" spans="1:4">
      <c r="A16" s="6" t="s">
        <v>346</v>
      </c>
      <c r="B16" s="107" t="s">
        <v>89</v>
      </c>
      <c r="C16" s="26">
        <v>2.1</v>
      </c>
      <c r="D16" s="30">
        <f>C16*12*B8</f>
        <v>47920.32</v>
      </c>
    </row>
    <row r="17" spans="1:4">
      <c r="A17" s="6" t="s">
        <v>348</v>
      </c>
      <c r="B17" s="107" t="s">
        <v>85</v>
      </c>
      <c r="C17" s="26">
        <v>0.26</v>
      </c>
      <c r="D17" s="30">
        <f>C17*12*B8</f>
        <v>5932.9920000000002</v>
      </c>
    </row>
    <row r="18" spans="1:4">
      <c r="A18" s="6" t="s">
        <v>349</v>
      </c>
      <c r="B18" s="107" t="s">
        <v>85</v>
      </c>
      <c r="C18" s="26">
        <v>0.27</v>
      </c>
      <c r="D18" s="30">
        <f>C18*12*B8</f>
        <v>6161.1840000000002</v>
      </c>
    </row>
    <row r="19" spans="1:4">
      <c r="A19" s="6" t="s">
        <v>347</v>
      </c>
      <c r="B19" s="107" t="s">
        <v>140</v>
      </c>
      <c r="C19" s="46">
        <v>0.87</v>
      </c>
      <c r="D19" s="30">
        <f>C19*12*B8</f>
        <v>19852.703999999998</v>
      </c>
    </row>
    <row r="20" spans="1:4">
      <c r="A20" s="124" t="s">
        <v>11</v>
      </c>
      <c r="B20" s="124"/>
      <c r="C20" s="124"/>
      <c r="D20" s="124"/>
    </row>
    <row r="21" spans="1:4" ht="13.5" customHeight="1">
      <c r="A21" s="41" t="s">
        <v>98</v>
      </c>
      <c r="B21" s="108"/>
      <c r="C21" s="108"/>
      <c r="D21" s="108"/>
    </row>
    <row r="22" spans="1:4" ht="13.5" customHeight="1">
      <c r="A22" s="6" t="s">
        <v>12</v>
      </c>
      <c r="B22" s="107" t="s">
        <v>76</v>
      </c>
      <c r="C22" s="118">
        <v>2.16</v>
      </c>
      <c r="D22" s="125">
        <f>C22*B8*12</f>
        <v>49289.472000000002</v>
      </c>
    </row>
    <row r="23" spans="1:4" ht="12.75" customHeight="1">
      <c r="A23" s="6" t="s">
        <v>13</v>
      </c>
      <c r="B23" s="107" t="s">
        <v>76</v>
      </c>
      <c r="C23" s="118"/>
      <c r="D23" s="126"/>
    </row>
    <row r="24" spans="1:4" ht="14.25" customHeight="1">
      <c r="A24" s="6" t="s">
        <v>14</v>
      </c>
      <c r="B24" s="107" t="s">
        <v>76</v>
      </c>
      <c r="C24" s="118"/>
      <c r="D24" s="126"/>
    </row>
    <row r="25" spans="1:4" ht="13.5" customHeight="1">
      <c r="A25" s="6" t="s">
        <v>15</v>
      </c>
      <c r="B25" s="107" t="s">
        <v>77</v>
      </c>
      <c r="C25" s="118"/>
      <c r="D25" s="126"/>
    </row>
    <row r="26" spans="1:4" ht="12.75" customHeight="1">
      <c r="A26" s="41" t="s">
        <v>94</v>
      </c>
      <c r="B26" s="107"/>
      <c r="C26" s="118"/>
      <c r="D26" s="126"/>
    </row>
    <row r="27" spans="1:4" ht="30" customHeight="1">
      <c r="A27" s="6" t="s">
        <v>16</v>
      </c>
      <c r="B27" s="107" t="s">
        <v>95</v>
      </c>
      <c r="C27" s="118"/>
      <c r="D27" s="127"/>
    </row>
    <row r="28" spans="1:4" ht="12.75" customHeight="1">
      <c r="A28" s="121" t="s">
        <v>17</v>
      </c>
      <c r="B28" s="122"/>
      <c r="C28" s="122"/>
      <c r="D28" s="123"/>
    </row>
    <row r="29" spans="1:4" ht="12" customHeight="1">
      <c r="A29" s="7" t="s">
        <v>18</v>
      </c>
      <c r="B29" s="21" t="s">
        <v>79</v>
      </c>
      <c r="C29" s="118">
        <v>0.2</v>
      </c>
      <c r="D29" s="128">
        <f>C29*B8*12</f>
        <v>4563.84</v>
      </c>
    </row>
    <row r="30" spans="1:4" ht="12" customHeight="1">
      <c r="A30" s="7" t="s">
        <v>19</v>
      </c>
      <c r="B30" s="21" t="s">
        <v>78</v>
      </c>
      <c r="C30" s="118"/>
      <c r="D30" s="128"/>
    </row>
    <row r="31" spans="1:4" ht="13.5" customHeight="1">
      <c r="A31" s="121" t="s">
        <v>20</v>
      </c>
      <c r="B31" s="122"/>
      <c r="C31" s="122"/>
      <c r="D31" s="123"/>
    </row>
    <row r="32" spans="1:4">
      <c r="A32" s="128" t="s">
        <v>21</v>
      </c>
      <c r="B32" s="128"/>
      <c r="C32" s="128"/>
      <c r="D32" s="128"/>
    </row>
    <row r="33" spans="1:4" ht="37.5" customHeight="1">
      <c r="A33" s="8" t="s">
        <v>22</v>
      </c>
      <c r="B33" s="22" t="s">
        <v>80</v>
      </c>
      <c r="C33" s="118">
        <v>0.61</v>
      </c>
      <c r="D33" s="117">
        <f>C33*B8*12</f>
        <v>13919.712</v>
      </c>
    </row>
    <row r="34" spans="1:4" ht="15" customHeight="1">
      <c r="A34" s="9" t="s">
        <v>24</v>
      </c>
      <c r="B34" s="23" t="s">
        <v>81</v>
      </c>
      <c r="C34" s="118"/>
      <c r="D34" s="126"/>
    </row>
    <row r="35" spans="1:4" ht="13.5" customHeight="1">
      <c r="A35" s="9" t="s">
        <v>26</v>
      </c>
      <c r="B35" s="23" t="s">
        <v>81</v>
      </c>
      <c r="C35" s="118"/>
      <c r="D35" s="126"/>
    </row>
    <row r="36" spans="1:4" ht="36" customHeight="1">
      <c r="A36" s="9" t="s">
        <v>27</v>
      </c>
      <c r="B36" s="22" t="s">
        <v>23</v>
      </c>
      <c r="C36" s="118"/>
      <c r="D36" s="126"/>
    </row>
    <row r="37" spans="1:4" ht="14.25" customHeight="1">
      <c r="A37" s="9" t="s">
        <v>28</v>
      </c>
      <c r="B37" s="22" t="s">
        <v>25</v>
      </c>
      <c r="C37" s="118"/>
      <c r="D37" s="126"/>
    </row>
    <row r="38" spans="1:4" ht="33.75" customHeight="1">
      <c r="A38" s="24" t="s">
        <v>29</v>
      </c>
      <c r="B38" s="22" t="s">
        <v>23</v>
      </c>
      <c r="C38" s="129"/>
      <c r="D38" s="127"/>
    </row>
    <row r="39" spans="1:4" ht="15.75" customHeight="1">
      <c r="A39" s="128" t="s">
        <v>66</v>
      </c>
      <c r="B39" s="128"/>
      <c r="C39" s="128"/>
      <c r="D39" s="128"/>
    </row>
    <row r="40" spans="1:4" ht="36.75" customHeight="1">
      <c r="A40" s="9" t="s">
        <v>67</v>
      </c>
      <c r="B40" s="22" t="s">
        <v>80</v>
      </c>
      <c r="C40" s="117">
        <v>1</v>
      </c>
      <c r="D40" s="118">
        <f>C40*12*B8</f>
        <v>22819.199999999997</v>
      </c>
    </row>
    <row r="41" spans="1:4" ht="14.25" customHeight="1">
      <c r="A41" s="9" t="s">
        <v>68</v>
      </c>
      <c r="B41" s="22" t="s">
        <v>81</v>
      </c>
      <c r="C41" s="117"/>
      <c r="D41" s="119"/>
    </row>
    <row r="42" spans="1:4" ht="14.25" customHeight="1">
      <c r="A42" s="9" t="s">
        <v>69</v>
      </c>
      <c r="B42" s="22" t="s">
        <v>81</v>
      </c>
      <c r="C42" s="117"/>
      <c r="D42" s="119"/>
    </row>
    <row r="43" spans="1:4" ht="24" customHeight="1">
      <c r="A43" s="9" t="s">
        <v>70</v>
      </c>
      <c r="B43" s="22" t="s">
        <v>80</v>
      </c>
      <c r="C43" s="117"/>
      <c r="D43" s="119"/>
    </row>
    <row r="44" spans="1:4" ht="25.5" customHeight="1">
      <c r="A44" s="10" t="s">
        <v>71</v>
      </c>
      <c r="B44" s="22" t="s">
        <v>80</v>
      </c>
      <c r="C44" s="117"/>
      <c r="D44" s="119"/>
    </row>
    <row r="45" spans="1:4" ht="14.25" customHeight="1">
      <c r="A45" s="9" t="s">
        <v>72</v>
      </c>
      <c r="B45" s="22" t="s">
        <v>25</v>
      </c>
      <c r="C45" s="117"/>
      <c r="D45" s="120"/>
    </row>
    <row r="46" spans="1:4" ht="11.25" customHeight="1">
      <c r="A46" s="130" t="s">
        <v>30</v>
      </c>
      <c r="B46" s="130"/>
      <c r="C46" s="130"/>
      <c r="D46" s="130"/>
    </row>
    <row r="47" spans="1:4" ht="35.25" customHeight="1">
      <c r="A47" s="9" t="s">
        <v>31</v>
      </c>
      <c r="B47" s="22" t="s">
        <v>23</v>
      </c>
      <c r="C47" s="117">
        <v>0.7</v>
      </c>
      <c r="D47" s="118">
        <f>C47*12*B8</f>
        <v>15973.439999999997</v>
      </c>
    </row>
    <row r="48" spans="1:4" ht="38.25" customHeight="1">
      <c r="A48" s="9" t="s">
        <v>32</v>
      </c>
      <c r="B48" s="22" t="s">
        <v>23</v>
      </c>
      <c r="C48" s="117"/>
      <c r="D48" s="118"/>
    </row>
    <row r="49" spans="1:4" ht="15" customHeight="1">
      <c r="A49" s="10" t="s">
        <v>33</v>
      </c>
      <c r="B49" s="22" t="s">
        <v>23</v>
      </c>
      <c r="C49" s="117"/>
      <c r="D49" s="118"/>
    </row>
    <row r="50" spans="1:4" ht="12.75" customHeight="1">
      <c r="A50" s="128" t="s">
        <v>34</v>
      </c>
      <c r="B50" s="128"/>
      <c r="C50" s="128"/>
      <c r="D50" s="128"/>
    </row>
    <row r="51" spans="1:4" ht="29.25" customHeight="1">
      <c r="A51" s="9" t="s">
        <v>35</v>
      </c>
      <c r="B51" s="22" t="s">
        <v>78</v>
      </c>
      <c r="C51" s="117">
        <v>1.94</v>
      </c>
      <c r="D51" s="117">
        <f>C51*12*B8+60014.52</f>
        <v>104283.768</v>
      </c>
    </row>
    <row r="52" spans="1:4" ht="14.25" customHeight="1">
      <c r="A52" s="9" t="s">
        <v>36</v>
      </c>
      <c r="B52" s="22" t="s">
        <v>82</v>
      </c>
      <c r="C52" s="117"/>
      <c r="D52" s="117"/>
    </row>
    <row r="53" spans="1:4" ht="17.25" customHeight="1">
      <c r="A53" s="9" t="s">
        <v>37</v>
      </c>
      <c r="B53" s="22" t="s">
        <v>82</v>
      </c>
      <c r="C53" s="117"/>
      <c r="D53" s="117"/>
    </row>
    <row r="54" spans="1:4" ht="24.75" customHeight="1">
      <c r="A54" s="9" t="s">
        <v>38</v>
      </c>
      <c r="B54" s="22" t="s">
        <v>83</v>
      </c>
      <c r="C54" s="117"/>
      <c r="D54" s="117"/>
    </row>
    <row r="55" spans="1:4" ht="30" customHeight="1">
      <c r="A55" s="9" t="s">
        <v>39</v>
      </c>
      <c r="B55" s="22" t="s">
        <v>83</v>
      </c>
      <c r="C55" s="117"/>
      <c r="D55" s="117"/>
    </row>
    <row r="56" spans="1:4" ht="12.75" customHeight="1">
      <c r="A56" s="108" t="s">
        <v>96</v>
      </c>
      <c r="B56" s="6"/>
      <c r="C56" s="117"/>
      <c r="D56" s="117"/>
    </row>
    <row r="57" spans="1:4" ht="35.25" customHeight="1">
      <c r="A57" s="9" t="s">
        <v>41</v>
      </c>
      <c r="B57" s="22" t="s">
        <v>80</v>
      </c>
      <c r="C57" s="117"/>
      <c r="D57" s="117"/>
    </row>
    <row r="58" spans="1:4" ht="14.25" customHeight="1">
      <c r="A58" s="9" t="s">
        <v>42</v>
      </c>
      <c r="B58" s="22" t="s">
        <v>81</v>
      </c>
      <c r="C58" s="117"/>
      <c r="D58" s="117"/>
    </row>
    <row r="59" spans="1:4" ht="14.25" customHeight="1">
      <c r="A59" s="9" t="s">
        <v>43</v>
      </c>
      <c r="B59" s="23" t="s">
        <v>81</v>
      </c>
      <c r="C59" s="117"/>
      <c r="D59" s="117"/>
    </row>
    <row r="60" spans="1:4" ht="13.5" customHeight="1">
      <c r="A60" s="9" t="s">
        <v>44</v>
      </c>
      <c r="B60" s="23" t="s">
        <v>81</v>
      </c>
      <c r="C60" s="117"/>
      <c r="D60" s="117"/>
    </row>
    <row r="61" spans="1:4" ht="13.5" customHeight="1">
      <c r="A61" s="9" t="s">
        <v>45</v>
      </c>
      <c r="B61" s="21" t="s">
        <v>350</v>
      </c>
      <c r="C61" s="117"/>
      <c r="D61" s="117"/>
    </row>
    <row r="62" spans="1:4" ht="36.75" customHeight="1">
      <c r="A62" s="10" t="s">
        <v>46</v>
      </c>
      <c r="B62" s="22" t="s">
        <v>23</v>
      </c>
      <c r="C62" s="117"/>
      <c r="D62" s="117"/>
    </row>
    <row r="63" spans="1:4">
      <c r="A63" s="128" t="s">
        <v>47</v>
      </c>
      <c r="B63" s="128"/>
      <c r="C63" s="128"/>
      <c r="D63" s="128"/>
    </row>
    <row r="64" spans="1:4" ht="15.75" customHeight="1">
      <c r="A64" s="9" t="s">
        <v>48</v>
      </c>
      <c r="B64" s="22" t="s">
        <v>84</v>
      </c>
      <c r="C64" s="129">
        <v>0.68</v>
      </c>
      <c r="D64" s="136">
        <f>C64*B8*12</f>
        <v>15517.056</v>
      </c>
    </row>
    <row r="65" spans="1:4" ht="12.75" customHeight="1">
      <c r="A65" s="9" t="s">
        <v>49</v>
      </c>
      <c r="B65" s="22" t="s">
        <v>84</v>
      </c>
      <c r="C65" s="119"/>
      <c r="D65" s="137"/>
    </row>
    <row r="66" spans="1:4" ht="24" customHeight="1">
      <c r="A66" s="9" t="s">
        <v>50</v>
      </c>
      <c r="B66" s="22" t="s">
        <v>84</v>
      </c>
      <c r="C66" s="119"/>
      <c r="D66" s="137"/>
    </row>
    <row r="67" spans="1:4" ht="16.5" customHeight="1">
      <c r="A67" s="9" t="s">
        <v>51</v>
      </c>
      <c r="B67" s="22" t="s">
        <v>84</v>
      </c>
      <c r="C67" s="119"/>
      <c r="D67" s="137"/>
    </row>
    <row r="68" spans="1:4" ht="36.75" customHeight="1">
      <c r="A68" s="10" t="s">
        <v>52</v>
      </c>
      <c r="B68" s="22" t="s">
        <v>23</v>
      </c>
      <c r="C68" s="119"/>
      <c r="D68" s="137"/>
    </row>
    <row r="69" spans="1:4" ht="16.5" customHeight="1">
      <c r="A69" s="10" t="s">
        <v>53</v>
      </c>
      <c r="B69" s="23" t="s">
        <v>85</v>
      </c>
      <c r="C69" s="119"/>
      <c r="D69" s="137"/>
    </row>
    <row r="70" spans="1:4" ht="16.5" customHeight="1">
      <c r="A70" s="56" t="s">
        <v>124</v>
      </c>
      <c r="B70" s="23" t="s">
        <v>125</v>
      </c>
      <c r="C70" s="120"/>
      <c r="D70" s="138"/>
    </row>
    <row r="71" spans="1:4" ht="15" customHeight="1">
      <c r="A71" s="121" t="s">
        <v>56</v>
      </c>
      <c r="B71" s="122"/>
      <c r="C71" s="122"/>
      <c r="D71" s="123"/>
    </row>
    <row r="72" spans="1:4" ht="26.25" customHeight="1">
      <c r="A72" s="139" t="s">
        <v>97</v>
      </c>
      <c r="B72" s="141" t="s">
        <v>87</v>
      </c>
      <c r="C72" s="118">
        <v>2.41</v>
      </c>
      <c r="D72" s="117">
        <f>C72*B8*12</f>
        <v>54994.271999999997</v>
      </c>
    </row>
    <row r="73" spans="1:4" ht="3.75" customHeight="1">
      <c r="A73" s="140"/>
      <c r="B73" s="141"/>
      <c r="C73" s="118"/>
      <c r="D73" s="117"/>
    </row>
    <row r="74" spans="1:4" ht="15" customHeight="1">
      <c r="A74" s="121" t="s">
        <v>56</v>
      </c>
      <c r="B74" s="122"/>
      <c r="C74" s="122"/>
      <c r="D74" s="123"/>
    </row>
    <row r="75" spans="1:4" ht="16.5" customHeight="1">
      <c r="A75" s="6" t="s">
        <v>91</v>
      </c>
      <c r="B75" s="21" t="s">
        <v>88</v>
      </c>
      <c r="C75" s="131">
        <v>2.14</v>
      </c>
      <c r="D75" s="133">
        <v>48833.04</v>
      </c>
    </row>
    <row r="76" spans="1:4">
      <c r="A76" s="6" t="s">
        <v>92</v>
      </c>
      <c r="B76" s="21" t="s">
        <v>88</v>
      </c>
      <c r="C76" s="132"/>
      <c r="D76" s="134"/>
    </row>
    <row r="77" spans="1:4" ht="15" customHeight="1">
      <c r="A77" s="6" t="s">
        <v>93</v>
      </c>
      <c r="B77" s="21" t="s">
        <v>88</v>
      </c>
      <c r="C77" s="130"/>
      <c r="D77" s="135"/>
    </row>
    <row r="78" spans="1:4" ht="38.25" customHeight="1">
      <c r="A78" s="6" t="s">
        <v>165</v>
      </c>
      <c r="B78" s="22" t="s">
        <v>23</v>
      </c>
      <c r="C78" s="105">
        <v>4.3499999999999996</v>
      </c>
      <c r="D78" s="105">
        <v>99264.72</v>
      </c>
    </row>
    <row r="79" spans="1:4">
      <c r="A79" s="108" t="s">
        <v>57</v>
      </c>
      <c r="B79" s="23"/>
      <c r="C79" s="28">
        <f>C78+C75+C72+C64+C51+C47+C40+C33+C29+C22+C19+C18+C17+C16+C14+C13</f>
        <v>21.62</v>
      </c>
      <c r="D79" s="57">
        <f>D78+D75+D72+D64+D51+D47+D40+D33+D29+D22+D19+D14+D13</f>
        <v>493352.28000000009</v>
      </c>
    </row>
    <row r="80" spans="1:4">
      <c r="C80" t="s">
        <v>284</v>
      </c>
    </row>
    <row r="81" spans="4:4">
      <c r="D81" s="42"/>
    </row>
    <row r="82" spans="4:4">
      <c r="D82" s="42"/>
    </row>
    <row r="83" spans="4:4">
      <c r="D83" s="42"/>
    </row>
    <row r="84" spans="4:4">
      <c r="D84" s="42"/>
    </row>
  </sheetData>
  <mergeCells count="31">
    <mergeCell ref="A74:D74"/>
    <mergeCell ref="C75:C77"/>
    <mergeCell ref="D75:D77"/>
    <mergeCell ref="A63:D63"/>
    <mergeCell ref="C64:C70"/>
    <mergeCell ref="D64:D70"/>
    <mergeCell ref="A72:A73"/>
    <mergeCell ref="B72:B73"/>
    <mergeCell ref="C72:C73"/>
    <mergeCell ref="D72:D73"/>
    <mergeCell ref="A71:D71"/>
    <mergeCell ref="A46:D46"/>
    <mergeCell ref="C47:C49"/>
    <mergeCell ref="D47:D49"/>
    <mergeCell ref="A50:D50"/>
    <mergeCell ref="C51:C62"/>
    <mergeCell ref="D51:D62"/>
    <mergeCell ref="C40:C45"/>
    <mergeCell ref="D40:D45"/>
    <mergeCell ref="A12:D12"/>
    <mergeCell ref="A20:D20"/>
    <mergeCell ref="C22:C27"/>
    <mergeCell ref="D22:D27"/>
    <mergeCell ref="A28:D28"/>
    <mergeCell ref="C29:C30"/>
    <mergeCell ref="D29:D30"/>
    <mergeCell ref="A31:D31"/>
    <mergeCell ref="A32:D32"/>
    <mergeCell ref="C33:C38"/>
    <mergeCell ref="D33:D38"/>
    <mergeCell ref="A39:D3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0"/>
  <sheetViews>
    <sheetView topLeftCell="A61" workbookViewId="0">
      <selection activeCell="A81" sqref="A81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341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1976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66</v>
      </c>
      <c r="C7" s="2"/>
      <c r="D7" s="2"/>
    </row>
    <row r="8" spans="1:4">
      <c r="A8" s="25" t="s">
        <v>73</v>
      </c>
      <c r="B8" s="2">
        <v>3075.4</v>
      </c>
      <c r="C8" s="2"/>
      <c r="D8" s="2"/>
    </row>
    <row r="9" spans="1:4">
      <c r="A9" s="25" t="s">
        <v>63</v>
      </c>
      <c r="B9" s="2">
        <v>261.7</v>
      </c>
      <c r="C9" s="2"/>
      <c r="D9" s="2"/>
    </row>
    <row r="10" spans="1:4">
      <c r="A10" s="25" t="s">
        <v>74</v>
      </c>
      <c r="B10" s="48">
        <v>709.8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0.14000000000000001</v>
      </c>
      <c r="D13" s="29">
        <f>C13*8*B8</f>
        <v>3444.4480000000003</v>
      </c>
    </row>
    <row r="14" spans="1:4" ht="75.75" customHeight="1">
      <c r="A14" s="6" t="s">
        <v>90</v>
      </c>
      <c r="B14" s="107" t="s">
        <v>9</v>
      </c>
      <c r="C14" s="26">
        <v>1.79</v>
      </c>
      <c r="D14" s="29">
        <f>C14*8*B8</f>
        <v>44039.728000000003</v>
      </c>
    </row>
    <row r="15" spans="1:4">
      <c r="A15" s="6" t="s">
        <v>10</v>
      </c>
      <c r="B15" s="107"/>
      <c r="C15" s="26"/>
      <c r="D15" s="30"/>
    </row>
    <row r="16" spans="1:4">
      <c r="A16" s="6" t="s">
        <v>342</v>
      </c>
      <c r="B16" s="107" t="s">
        <v>25</v>
      </c>
      <c r="C16" s="46">
        <f>25*870/8/B8</f>
        <v>0.88403134551603035</v>
      </c>
      <c r="D16" s="30">
        <f>C16*8*B8</f>
        <v>21750</v>
      </c>
    </row>
    <row r="17" spans="1:4">
      <c r="A17" s="124" t="s">
        <v>11</v>
      </c>
      <c r="B17" s="124"/>
      <c r="C17" s="124"/>
      <c r="D17" s="124"/>
    </row>
    <row r="18" spans="1:4" ht="13.5" customHeight="1">
      <c r="A18" s="41" t="s">
        <v>98</v>
      </c>
      <c r="B18" s="108"/>
      <c r="C18" s="108"/>
      <c r="D18" s="108"/>
    </row>
    <row r="19" spans="1:4" ht="13.5" customHeight="1">
      <c r="A19" s="6" t="s">
        <v>12</v>
      </c>
      <c r="B19" s="107" t="s">
        <v>76</v>
      </c>
      <c r="C19" s="118">
        <v>2.16</v>
      </c>
      <c r="D19" s="125">
        <f>C19*B8*8</f>
        <v>53142.912000000004</v>
      </c>
    </row>
    <row r="20" spans="1:4" ht="12.75" customHeight="1">
      <c r="A20" s="6" t="s">
        <v>13</v>
      </c>
      <c r="B20" s="107" t="s">
        <v>76</v>
      </c>
      <c r="C20" s="118"/>
      <c r="D20" s="126"/>
    </row>
    <row r="21" spans="1:4" ht="14.25" customHeight="1">
      <c r="A21" s="6" t="s">
        <v>14</v>
      </c>
      <c r="B21" s="107" t="s">
        <v>76</v>
      </c>
      <c r="C21" s="118"/>
      <c r="D21" s="126"/>
    </row>
    <row r="22" spans="1:4" ht="13.5" customHeight="1">
      <c r="A22" s="6" t="s">
        <v>15</v>
      </c>
      <c r="B22" s="107" t="s">
        <v>77</v>
      </c>
      <c r="C22" s="118"/>
      <c r="D22" s="126"/>
    </row>
    <row r="23" spans="1:4" ht="12.75" customHeight="1">
      <c r="A23" s="41" t="s">
        <v>94</v>
      </c>
      <c r="B23" s="107"/>
      <c r="C23" s="118"/>
      <c r="D23" s="126"/>
    </row>
    <row r="24" spans="1:4" ht="30" customHeight="1">
      <c r="A24" s="6" t="s">
        <v>16</v>
      </c>
      <c r="B24" s="107" t="s">
        <v>95</v>
      </c>
      <c r="C24" s="118"/>
      <c r="D24" s="127"/>
    </row>
    <row r="25" spans="1:4" ht="12.75" customHeight="1">
      <c r="A25" s="121" t="s">
        <v>17</v>
      </c>
      <c r="B25" s="122"/>
      <c r="C25" s="122"/>
      <c r="D25" s="123"/>
    </row>
    <row r="26" spans="1:4" ht="12" customHeight="1">
      <c r="A26" s="7" t="s">
        <v>18</v>
      </c>
      <c r="B26" s="21" t="s">
        <v>79</v>
      </c>
      <c r="C26" s="118">
        <v>0.2</v>
      </c>
      <c r="D26" s="128">
        <f>C26*B8*8</f>
        <v>4920.6400000000003</v>
      </c>
    </row>
    <row r="27" spans="1:4" ht="12" customHeight="1">
      <c r="A27" s="7" t="s">
        <v>19</v>
      </c>
      <c r="B27" s="21" t="s">
        <v>78</v>
      </c>
      <c r="C27" s="118"/>
      <c r="D27" s="128"/>
    </row>
    <row r="28" spans="1:4" ht="13.5" customHeight="1">
      <c r="A28" s="121" t="s">
        <v>20</v>
      </c>
      <c r="B28" s="122"/>
      <c r="C28" s="122"/>
      <c r="D28" s="123"/>
    </row>
    <row r="29" spans="1:4">
      <c r="A29" s="128" t="s">
        <v>21</v>
      </c>
      <c r="B29" s="128"/>
      <c r="C29" s="128"/>
      <c r="D29" s="128"/>
    </row>
    <row r="30" spans="1:4" ht="37.5" customHeight="1">
      <c r="A30" s="8" t="s">
        <v>22</v>
      </c>
      <c r="B30" s="22" t="s">
        <v>80</v>
      </c>
      <c r="C30" s="118">
        <v>0.61</v>
      </c>
      <c r="D30" s="117">
        <f>C30*B8*8</f>
        <v>15007.951999999999</v>
      </c>
    </row>
    <row r="31" spans="1:4" ht="15" customHeight="1">
      <c r="A31" s="9" t="s">
        <v>24</v>
      </c>
      <c r="B31" s="23" t="s">
        <v>81</v>
      </c>
      <c r="C31" s="118"/>
      <c r="D31" s="126"/>
    </row>
    <row r="32" spans="1:4" ht="13.5" customHeight="1">
      <c r="A32" s="9" t="s">
        <v>26</v>
      </c>
      <c r="B32" s="23" t="s">
        <v>81</v>
      </c>
      <c r="C32" s="118"/>
      <c r="D32" s="126"/>
    </row>
    <row r="33" spans="1:4" ht="36" customHeight="1">
      <c r="A33" s="9" t="s">
        <v>27</v>
      </c>
      <c r="B33" s="22" t="s">
        <v>23</v>
      </c>
      <c r="C33" s="118"/>
      <c r="D33" s="126"/>
    </row>
    <row r="34" spans="1:4" ht="14.25" customHeight="1">
      <c r="A34" s="9" t="s">
        <v>28</v>
      </c>
      <c r="B34" s="22" t="s">
        <v>25</v>
      </c>
      <c r="C34" s="118"/>
      <c r="D34" s="126"/>
    </row>
    <row r="35" spans="1:4" ht="33.75" customHeight="1">
      <c r="A35" s="24" t="s">
        <v>29</v>
      </c>
      <c r="B35" s="22" t="s">
        <v>23</v>
      </c>
      <c r="C35" s="129"/>
      <c r="D35" s="127"/>
    </row>
    <row r="36" spans="1:4" ht="15.75" customHeight="1">
      <c r="A36" s="128" t="s">
        <v>66</v>
      </c>
      <c r="B36" s="128"/>
      <c r="C36" s="128"/>
      <c r="D36" s="128"/>
    </row>
    <row r="37" spans="1:4" ht="36.75" customHeight="1">
      <c r="A37" s="9" t="s">
        <v>67</v>
      </c>
      <c r="B37" s="22" t="s">
        <v>80</v>
      </c>
      <c r="C37" s="117">
        <v>1</v>
      </c>
      <c r="D37" s="118">
        <f>C37*8*B8</f>
        <v>24603.200000000001</v>
      </c>
    </row>
    <row r="38" spans="1:4" ht="14.25" customHeight="1">
      <c r="A38" s="9" t="s">
        <v>68</v>
      </c>
      <c r="B38" s="22" t="s">
        <v>81</v>
      </c>
      <c r="C38" s="117"/>
      <c r="D38" s="119"/>
    </row>
    <row r="39" spans="1:4" ht="14.25" customHeight="1">
      <c r="A39" s="9" t="s">
        <v>69</v>
      </c>
      <c r="B39" s="22" t="s">
        <v>81</v>
      </c>
      <c r="C39" s="117"/>
      <c r="D39" s="119"/>
    </row>
    <row r="40" spans="1:4" ht="24" customHeight="1">
      <c r="A40" s="9" t="s">
        <v>70</v>
      </c>
      <c r="B40" s="22" t="s">
        <v>80</v>
      </c>
      <c r="C40" s="117"/>
      <c r="D40" s="119"/>
    </row>
    <row r="41" spans="1:4" ht="25.5" customHeight="1">
      <c r="A41" s="10" t="s">
        <v>71</v>
      </c>
      <c r="B41" s="22" t="s">
        <v>80</v>
      </c>
      <c r="C41" s="117"/>
      <c r="D41" s="119"/>
    </row>
    <row r="42" spans="1:4" ht="14.25" customHeight="1">
      <c r="A42" s="9" t="s">
        <v>72</v>
      </c>
      <c r="B42" s="22" t="s">
        <v>25</v>
      </c>
      <c r="C42" s="117"/>
      <c r="D42" s="120"/>
    </row>
    <row r="43" spans="1:4" ht="11.25" customHeight="1">
      <c r="A43" s="130" t="s">
        <v>30</v>
      </c>
      <c r="B43" s="130"/>
      <c r="C43" s="130"/>
      <c r="D43" s="130"/>
    </row>
    <row r="44" spans="1:4" ht="35.25" customHeight="1">
      <c r="A44" s="9" t="s">
        <v>31</v>
      </c>
      <c r="B44" s="22" t="s">
        <v>23</v>
      </c>
      <c r="C44" s="117">
        <v>0.7</v>
      </c>
      <c r="D44" s="118">
        <f>C44*8*B8</f>
        <v>17222.239999999998</v>
      </c>
    </row>
    <row r="45" spans="1:4" ht="38.25" customHeight="1">
      <c r="A45" s="9" t="s">
        <v>32</v>
      </c>
      <c r="B45" s="22" t="s">
        <v>23</v>
      </c>
      <c r="C45" s="117"/>
      <c r="D45" s="118"/>
    </row>
    <row r="46" spans="1:4" ht="15" customHeight="1">
      <c r="A46" s="10" t="s">
        <v>33</v>
      </c>
      <c r="B46" s="22" t="s">
        <v>23</v>
      </c>
      <c r="C46" s="117"/>
      <c r="D46" s="118"/>
    </row>
    <row r="47" spans="1:4" ht="12.75" customHeight="1">
      <c r="A47" s="128" t="s">
        <v>34</v>
      </c>
      <c r="B47" s="128"/>
      <c r="C47" s="128"/>
      <c r="D47" s="128"/>
    </row>
    <row r="48" spans="1:4" ht="29.25" customHeight="1">
      <c r="A48" s="9" t="s">
        <v>35</v>
      </c>
      <c r="B48" s="22" t="s">
        <v>78</v>
      </c>
      <c r="C48" s="117">
        <v>3.28</v>
      </c>
      <c r="D48" s="117">
        <f>C48*8*B8-124.85</f>
        <v>80573.645999999993</v>
      </c>
    </row>
    <row r="49" spans="1:4" ht="14.25" customHeight="1">
      <c r="A49" s="9" t="s">
        <v>36</v>
      </c>
      <c r="B49" s="22" t="s">
        <v>82</v>
      </c>
      <c r="C49" s="117"/>
      <c r="D49" s="117"/>
    </row>
    <row r="50" spans="1:4" ht="17.25" customHeight="1">
      <c r="A50" s="9" t="s">
        <v>37</v>
      </c>
      <c r="B50" s="22" t="s">
        <v>82</v>
      </c>
      <c r="C50" s="117"/>
      <c r="D50" s="117"/>
    </row>
    <row r="51" spans="1:4" ht="24.75" customHeight="1">
      <c r="A51" s="9" t="s">
        <v>38</v>
      </c>
      <c r="B51" s="22" t="s">
        <v>83</v>
      </c>
      <c r="C51" s="117"/>
      <c r="D51" s="117"/>
    </row>
    <row r="52" spans="1:4" ht="30" customHeight="1">
      <c r="A52" s="9" t="s">
        <v>39</v>
      </c>
      <c r="B52" s="22" t="s">
        <v>83</v>
      </c>
      <c r="C52" s="117"/>
      <c r="D52" s="117"/>
    </row>
    <row r="53" spans="1:4" ht="12.75" customHeight="1">
      <c r="A53" s="108" t="s">
        <v>96</v>
      </c>
      <c r="B53" s="6"/>
      <c r="C53" s="117"/>
      <c r="D53" s="117"/>
    </row>
    <row r="54" spans="1:4" ht="35.25" customHeight="1">
      <c r="A54" s="9" t="s">
        <v>41</v>
      </c>
      <c r="B54" s="22" t="s">
        <v>80</v>
      </c>
      <c r="C54" s="117"/>
      <c r="D54" s="117"/>
    </row>
    <row r="55" spans="1:4" ht="14.25" customHeight="1">
      <c r="A55" s="9" t="s">
        <v>42</v>
      </c>
      <c r="B55" s="22" t="s">
        <v>81</v>
      </c>
      <c r="C55" s="117"/>
      <c r="D55" s="117"/>
    </row>
    <row r="56" spans="1:4" ht="14.25" customHeight="1">
      <c r="A56" s="9" t="s">
        <v>43</v>
      </c>
      <c r="B56" s="23" t="s">
        <v>81</v>
      </c>
      <c r="C56" s="117"/>
      <c r="D56" s="117"/>
    </row>
    <row r="57" spans="1:4" ht="13.5" customHeight="1">
      <c r="A57" s="9" t="s">
        <v>44</v>
      </c>
      <c r="B57" s="23" t="s">
        <v>81</v>
      </c>
      <c r="C57" s="117"/>
      <c r="D57" s="117"/>
    </row>
    <row r="58" spans="1:4" ht="13.5" customHeight="1">
      <c r="A58" s="9" t="s">
        <v>45</v>
      </c>
      <c r="B58" s="21" t="s">
        <v>340</v>
      </c>
      <c r="C58" s="117"/>
      <c r="D58" s="117"/>
    </row>
    <row r="59" spans="1:4" ht="36.75" customHeight="1">
      <c r="A59" s="10" t="s">
        <v>46</v>
      </c>
      <c r="B59" s="22" t="s">
        <v>23</v>
      </c>
      <c r="C59" s="117"/>
      <c r="D59" s="117"/>
    </row>
    <row r="60" spans="1:4">
      <c r="A60" s="128" t="s">
        <v>47</v>
      </c>
      <c r="B60" s="128"/>
      <c r="C60" s="128"/>
      <c r="D60" s="128"/>
    </row>
    <row r="61" spans="1:4" ht="15.75" customHeight="1">
      <c r="A61" s="9" t="s">
        <v>48</v>
      </c>
      <c r="B61" s="22" t="s">
        <v>84</v>
      </c>
      <c r="C61" s="111">
        <v>1.96</v>
      </c>
      <c r="D61" s="113">
        <f>C61*B8*8</f>
        <v>48222.271999999997</v>
      </c>
    </row>
    <row r="62" spans="1:4" ht="12.75" customHeight="1">
      <c r="A62" s="9" t="s">
        <v>49</v>
      </c>
      <c r="B62" s="22" t="s">
        <v>84</v>
      </c>
      <c r="C62" s="112"/>
      <c r="D62" s="114"/>
    </row>
    <row r="63" spans="1:4" ht="24" customHeight="1">
      <c r="A63" s="9" t="s">
        <v>50</v>
      </c>
      <c r="B63" s="22" t="s">
        <v>84</v>
      </c>
      <c r="C63" s="112"/>
      <c r="D63" s="114"/>
    </row>
    <row r="64" spans="1:4" ht="16.5" customHeight="1">
      <c r="A64" s="9" t="s">
        <v>51</v>
      </c>
      <c r="B64" s="22" t="s">
        <v>84</v>
      </c>
      <c r="C64" s="112"/>
      <c r="D64" s="114"/>
    </row>
    <row r="65" spans="1:4" ht="36.75" customHeight="1">
      <c r="A65" s="10" t="s">
        <v>52</v>
      </c>
      <c r="B65" s="22" t="s">
        <v>23</v>
      </c>
      <c r="C65" s="112"/>
      <c r="D65" s="114"/>
    </row>
    <row r="66" spans="1:4" ht="16.5" customHeight="1">
      <c r="A66" s="10" t="s">
        <v>53</v>
      </c>
      <c r="B66" s="23" t="s">
        <v>85</v>
      </c>
      <c r="C66" s="112"/>
      <c r="D66" s="114"/>
    </row>
    <row r="67" spans="1:4" ht="15" customHeight="1">
      <c r="A67" s="121" t="s">
        <v>56</v>
      </c>
      <c r="B67" s="122"/>
      <c r="C67" s="122"/>
      <c r="D67" s="123"/>
    </row>
    <row r="68" spans="1:4" ht="26.25" customHeight="1">
      <c r="A68" s="139" t="s">
        <v>97</v>
      </c>
      <c r="B68" s="141" t="s">
        <v>87</v>
      </c>
      <c r="C68" s="118">
        <v>2.41</v>
      </c>
      <c r="D68" s="117">
        <f>C68*B8*8</f>
        <v>59293.712000000007</v>
      </c>
    </row>
    <row r="69" spans="1:4" ht="3.75" customHeight="1">
      <c r="A69" s="140"/>
      <c r="B69" s="141"/>
      <c r="C69" s="118"/>
      <c r="D69" s="117"/>
    </row>
    <row r="70" spans="1:4" ht="15" customHeight="1">
      <c r="A70" s="121" t="s">
        <v>56</v>
      </c>
      <c r="B70" s="122"/>
      <c r="C70" s="122"/>
      <c r="D70" s="123"/>
    </row>
    <row r="71" spans="1:4" ht="16.5" customHeight="1">
      <c r="A71" s="6" t="s">
        <v>91</v>
      </c>
      <c r="B71" s="21" t="s">
        <v>88</v>
      </c>
      <c r="C71" s="131">
        <v>2.14</v>
      </c>
      <c r="D71" s="133">
        <v>52647.17</v>
      </c>
    </row>
    <row r="72" spans="1:4">
      <c r="A72" s="6" t="s">
        <v>92</v>
      </c>
      <c r="B72" s="21" t="s">
        <v>88</v>
      </c>
      <c r="C72" s="132"/>
      <c r="D72" s="134"/>
    </row>
    <row r="73" spans="1:4" ht="15" customHeight="1">
      <c r="A73" s="6" t="s">
        <v>93</v>
      </c>
      <c r="B73" s="21" t="s">
        <v>88</v>
      </c>
      <c r="C73" s="130"/>
      <c r="D73" s="135"/>
    </row>
    <row r="74" spans="1:4" ht="38.25" customHeight="1">
      <c r="A74" s="6" t="s">
        <v>165</v>
      </c>
      <c r="B74" s="22" t="s">
        <v>23</v>
      </c>
      <c r="C74" s="105">
        <v>4.3499999999999996</v>
      </c>
      <c r="D74" s="105">
        <v>107017.7</v>
      </c>
    </row>
    <row r="75" spans="1:4">
      <c r="A75" s="108" t="s">
        <v>57</v>
      </c>
      <c r="B75" s="23"/>
      <c r="C75" s="28">
        <f>C74+C71+C68+C61+C48+C44+C37+C30+C26+C19+C16+C14+C13</f>
        <v>21.62403134551603</v>
      </c>
      <c r="D75" s="57">
        <f>D74+D71+D68+D61+D48+D44+D37+D30+D26+D19+D16+D14+D13</f>
        <v>531885.62</v>
      </c>
    </row>
    <row r="76" spans="1:4">
      <c r="C76" t="s">
        <v>284</v>
      </c>
    </row>
    <row r="77" spans="1:4">
      <c r="D77" s="42"/>
    </row>
    <row r="78" spans="1:4">
      <c r="D78" s="42"/>
    </row>
    <row r="79" spans="1:4">
      <c r="D79" s="42"/>
    </row>
    <row r="80" spans="1:4">
      <c r="D80" s="42"/>
    </row>
  </sheetData>
  <mergeCells count="29">
    <mergeCell ref="A70:D70"/>
    <mergeCell ref="C71:C73"/>
    <mergeCell ref="D71:D73"/>
    <mergeCell ref="A60:D60"/>
    <mergeCell ref="A68:A69"/>
    <mergeCell ref="B68:B69"/>
    <mergeCell ref="C68:C69"/>
    <mergeCell ref="D68:D69"/>
    <mergeCell ref="A67:D67"/>
    <mergeCell ref="A43:D43"/>
    <mergeCell ref="C44:C46"/>
    <mergeCell ref="D44:D46"/>
    <mergeCell ref="A47:D47"/>
    <mergeCell ref="C48:C59"/>
    <mergeCell ref="D48:D59"/>
    <mergeCell ref="C37:C42"/>
    <mergeCell ref="D37:D42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4"/>
  <sheetViews>
    <sheetView topLeftCell="A64" workbookViewId="0">
      <selection activeCell="A85" sqref="A85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334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25" t="s">
        <v>59</v>
      </c>
      <c r="B4" s="2">
        <v>1967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76</v>
      </c>
      <c r="C7" s="2"/>
      <c r="D7" s="2"/>
    </row>
    <row r="8" spans="1:4">
      <c r="A8" s="25" t="s">
        <v>73</v>
      </c>
      <c r="B8" s="2">
        <v>3021.6</v>
      </c>
      <c r="C8" s="2"/>
      <c r="D8" s="2"/>
    </row>
    <row r="9" spans="1:4">
      <c r="A9" s="25" t="s">
        <v>63</v>
      </c>
      <c r="B9" s="2">
        <v>249.5</v>
      </c>
      <c r="C9" s="2"/>
      <c r="D9" s="2"/>
    </row>
    <row r="10" spans="1:4">
      <c r="A10" s="25" t="s">
        <v>74</v>
      </c>
      <c r="B10" s="48">
        <v>528.6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0.14000000000000001</v>
      </c>
      <c r="D13" s="29">
        <f>C13*9*B8</f>
        <v>3807.2160000000008</v>
      </c>
    </row>
    <row r="14" spans="1:4" ht="75.75" customHeight="1">
      <c r="A14" s="6" t="s">
        <v>90</v>
      </c>
      <c r="B14" s="107" t="s">
        <v>9</v>
      </c>
      <c r="C14" s="26">
        <v>1.79</v>
      </c>
      <c r="D14" s="29">
        <f>C14*9*B8</f>
        <v>48677.975999999995</v>
      </c>
    </row>
    <row r="15" spans="1:4">
      <c r="A15" s="6" t="s">
        <v>10</v>
      </c>
      <c r="B15" s="107"/>
      <c r="C15" s="26"/>
      <c r="D15" s="30"/>
    </row>
    <row r="16" spans="1:4">
      <c r="A16" s="6" t="s">
        <v>338</v>
      </c>
      <c r="B16" s="107" t="s">
        <v>182</v>
      </c>
      <c r="C16" s="46">
        <f>18564/9/B8</f>
        <v>0.68264054364133786</v>
      </c>
      <c r="D16" s="30">
        <f>C16*9*B8</f>
        <v>18563.999999999996</v>
      </c>
    </row>
    <row r="17" spans="1:4">
      <c r="A17" s="6" t="s">
        <v>337</v>
      </c>
      <c r="B17" s="107" t="s">
        <v>126</v>
      </c>
      <c r="C17" s="46">
        <v>0.38</v>
      </c>
      <c r="D17" s="30">
        <f>C17*9*B8</f>
        <v>10333.871999999999</v>
      </c>
    </row>
    <row r="18" spans="1:4">
      <c r="A18" s="6" t="s">
        <v>335</v>
      </c>
      <c r="B18" s="107" t="s">
        <v>108</v>
      </c>
      <c r="C18" s="46">
        <f>5686/9/B8</f>
        <v>0.20908716500455979</v>
      </c>
      <c r="D18" s="30">
        <f>C18*9*B8</f>
        <v>5686.0000000000009</v>
      </c>
    </row>
    <row r="19" spans="1:4">
      <c r="A19" s="6" t="s">
        <v>336</v>
      </c>
      <c r="B19" s="107" t="s">
        <v>108</v>
      </c>
      <c r="C19" s="46">
        <f>10758/9/B8</f>
        <v>0.39559615214897181</v>
      </c>
      <c r="D19" s="30">
        <f>C19*9*B8</f>
        <v>10758</v>
      </c>
    </row>
    <row r="20" spans="1:4">
      <c r="A20" s="124" t="s">
        <v>11</v>
      </c>
      <c r="B20" s="124"/>
      <c r="C20" s="124"/>
      <c r="D20" s="124"/>
    </row>
    <row r="21" spans="1:4" ht="13.5" customHeight="1">
      <c r="A21" s="41" t="s">
        <v>98</v>
      </c>
      <c r="B21" s="108"/>
      <c r="C21" s="108"/>
      <c r="D21" s="108"/>
    </row>
    <row r="22" spans="1:4" ht="13.5" customHeight="1">
      <c r="A22" s="6" t="s">
        <v>12</v>
      </c>
      <c r="B22" s="107" t="s">
        <v>76</v>
      </c>
      <c r="C22" s="118">
        <v>2.16</v>
      </c>
      <c r="D22" s="125">
        <f>C22*B8*9</f>
        <v>58739.904000000002</v>
      </c>
    </row>
    <row r="23" spans="1:4" ht="12.75" customHeight="1">
      <c r="A23" s="6" t="s">
        <v>13</v>
      </c>
      <c r="B23" s="107" t="s">
        <v>76</v>
      </c>
      <c r="C23" s="118"/>
      <c r="D23" s="126"/>
    </row>
    <row r="24" spans="1:4" ht="14.25" customHeight="1">
      <c r="A24" s="6" t="s">
        <v>14</v>
      </c>
      <c r="B24" s="107" t="s">
        <v>76</v>
      </c>
      <c r="C24" s="118"/>
      <c r="D24" s="126"/>
    </row>
    <row r="25" spans="1:4" ht="13.5" customHeight="1">
      <c r="A25" s="6" t="s">
        <v>15</v>
      </c>
      <c r="B25" s="107" t="s">
        <v>77</v>
      </c>
      <c r="C25" s="118"/>
      <c r="D25" s="126"/>
    </row>
    <row r="26" spans="1:4" ht="12.75" customHeight="1">
      <c r="A26" s="41" t="s">
        <v>94</v>
      </c>
      <c r="B26" s="107"/>
      <c r="C26" s="118"/>
      <c r="D26" s="126"/>
    </row>
    <row r="27" spans="1:4" ht="30" customHeight="1">
      <c r="A27" s="6" t="s">
        <v>16</v>
      </c>
      <c r="B27" s="107" t="s">
        <v>95</v>
      </c>
      <c r="C27" s="118"/>
      <c r="D27" s="127"/>
    </row>
    <row r="28" spans="1:4" ht="12.75" customHeight="1">
      <c r="A28" s="121" t="s">
        <v>17</v>
      </c>
      <c r="B28" s="122"/>
      <c r="C28" s="122"/>
      <c r="D28" s="123"/>
    </row>
    <row r="29" spans="1:4" ht="12" customHeight="1">
      <c r="A29" s="7" t="s">
        <v>18</v>
      </c>
      <c r="B29" s="21" t="s">
        <v>79</v>
      </c>
      <c r="C29" s="118">
        <v>0.2</v>
      </c>
      <c r="D29" s="128">
        <f>C29*B8*9</f>
        <v>5438.88</v>
      </c>
    </row>
    <row r="30" spans="1:4" ht="12" customHeight="1">
      <c r="A30" s="7" t="s">
        <v>19</v>
      </c>
      <c r="B30" s="21" t="s">
        <v>78</v>
      </c>
      <c r="C30" s="118"/>
      <c r="D30" s="128"/>
    </row>
    <row r="31" spans="1:4" ht="13.5" customHeight="1">
      <c r="A31" s="121" t="s">
        <v>20</v>
      </c>
      <c r="B31" s="122"/>
      <c r="C31" s="122"/>
      <c r="D31" s="123"/>
    </row>
    <row r="32" spans="1:4">
      <c r="A32" s="128" t="s">
        <v>21</v>
      </c>
      <c r="B32" s="128"/>
      <c r="C32" s="128"/>
      <c r="D32" s="128"/>
    </row>
    <row r="33" spans="1:4" ht="37.5" customHeight="1">
      <c r="A33" s="8" t="s">
        <v>22</v>
      </c>
      <c r="B33" s="22" t="s">
        <v>80</v>
      </c>
      <c r="C33" s="118">
        <v>0.61</v>
      </c>
      <c r="D33" s="117">
        <f>C33*B8*9</f>
        <v>16588.583999999999</v>
      </c>
    </row>
    <row r="34" spans="1:4" ht="15" customHeight="1">
      <c r="A34" s="9" t="s">
        <v>24</v>
      </c>
      <c r="B34" s="23" t="s">
        <v>81</v>
      </c>
      <c r="C34" s="118"/>
      <c r="D34" s="126"/>
    </row>
    <row r="35" spans="1:4" ht="13.5" customHeight="1">
      <c r="A35" s="9" t="s">
        <v>26</v>
      </c>
      <c r="B35" s="23" t="s">
        <v>81</v>
      </c>
      <c r="C35" s="118"/>
      <c r="D35" s="126"/>
    </row>
    <row r="36" spans="1:4" ht="36" customHeight="1">
      <c r="A36" s="9" t="s">
        <v>27</v>
      </c>
      <c r="B36" s="22" t="s">
        <v>23</v>
      </c>
      <c r="C36" s="118"/>
      <c r="D36" s="126"/>
    </row>
    <row r="37" spans="1:4" ht="14.25" customHeight="1">
      <c r="A37" s="9" t="s">
        <v>28</v>
      </c>
      <c r="B37" s="22" t="s">
        <v>25</v>
      </c>
      <c r="C37" s="118"/>
      <c r="D37" s="126"/>
    </row>
    <row r="38" spans="1:4" ht="33.75" customHeight="1">
      <c r="A38" s="24" t="s">
        <v>29</v>
      </c>
      <c r="B38" s="22" t="s">
        <v>23</v>
      </c>
      <c r="C38" s="129"/>
      <c r="D38" s="127"/>
    </row>
    <row r="39" spans="1:4" ht="15.75" customHeight="1">
      <c r="A39" s="128" t="s">
        <v>66</v>
      </c>
      <c r="B39" s="128"/>
      <c r="C39" s="128"/>
      <c r="D39" s="128"/>
    </row>
    <row r="40" spans="1:4" ht="36.75" customHeight="1">
      <c r="A40" s="9" t="s">
        <v>67</v>
      </c>
      <c r="B40" s="22" t="s">
        <v>80</v>
      </c>
      <c r="C40" s="117">
        <v>1</v>
      </c>
      <c r="D40" s="118">
        <f>C40*9*B8</f>
        <v>27194.399999999998</v>
      </c>
    </row>
    <row r="41" spans="1:4" ht="14.25" customHeight="1">
      <c r="A41" s="9" t="s">
        <v>68</v>
      </c>
      <c r="B41" s="22" t="s">
        <v>81</v>
      </c>
      <c r="C41" s="117"/>
      <c r="D41" s="119"/>
    </row>
    <row r="42" spans="1:4" ht="14.25" customHeight="1">
      <c r="A42" s="9" t="s">
        <v>69</v>
      </c>
      <c r="B42" s="22" t="s">
        <v>81</v>
      </c>
      <c r="C42" s="117"/>
      <c r="D42" s="119"/>
    </row>
    <row r="43" spans="1:4" ht="24" customHeight="1">
      <c r="A43" s="9" t="s">
        <v>70</v>
      </c>
      <c r="B43" s="22" t="s">
        <v>80</v>
      </c>
      <c r="C43" s="117"/>
      <c r="D43" s="119"/>
    </row>
    <row r="44" spans="1:4" ht="25.5" customHeight="1">
      <c r="A44" s="10" t="s">
        <v>71</v>
      </c>
      <c r="B44" s="22" t="s">
        <v>80</v>
      </c>
      <c r="C44" s="117"/>
      <c r="D44" s="119"/>
    </row>
    <row r="45" spans="1:4" ht="14.25" customHeight="1">
      <c r="A45" s="9" t="s">
        <v>72</v>
      </c>
      <c r="B45" s="22" t="s">
        <v>25</v>
      </c>
      <c r="C45" s="117"/>
      <c r="D45" s="120"/>
    </row>
    <row r="46" spans="1:4" ht="11.25" customHeight="1">
      <c r="A46" s="130" t="s">
        <v>30</v>
      </c>
      <c r="B46" s="130"/>
      <c r="C46" s="130"/>
      <c r="D46" s="130"/>
    </row>
    <row r="47" spans="1:4" ht="35.25" customHeight="1">
      <c r="A47" s="9" t="s">
        <v>31</v>
      </c>
      <c r="B47" s="22" t="s">
        <v>23</v>
      </c>
      <c r="C47" s="117">
        <v>0.7</v>
      </c>
      <c r="D47" s="118">
        <f>C47*9*B8</f>
        <v>19036.079999999998</v>
      </c>
    </row>
    <row r="48" spans="1:4" ht="38.25" customHeight="1">
      <c r="A48" s="9" t="s">
        <v>32</v>
      </c>
      <c r="B48" s="22" t="s">
        <v>23</v>
      </c>
      <c r="C48" s="117"/>
      <c r="D48" s="118"/>
    </row>
    <row r="49" spans="1:4" ht="15" customHeight="1">
      <c r="A49" s="10" t="s">
        <v>33</v>
      </c>
      <c r="B49" s="22" t="s">
        <v>23</v>
      </c>
      <c r="C49" s="117"/>
      <c r="D49" s="118"/>
    </row>
    <row r="50" spans="1:4" ht="12.75" customHeight="1">
      <c r="A50" s="128" t="s">
        <v>34</v>
      </c>
      <c r="B50" s="128"/>
      <c r="C50" s="128"/>
      <c r="D50" s="128"/>
    </row>
    <row r="51" spans="1:4" ht="29.25" customHeight="1">
      <c r="A51" s="9" t="s">
        <v>35</v>
      </c>
      <c r="B51" s="22" t="s">
        <v>78</v>
      </c>
      <c r="C51" s="117">
        <v>3.28</v>
      </c>
      <c r="D51" s="117">
        <f>C51*9*B8-57018.57</f>
        <v>32179.061999999998</v>
      </c>
    </row>
    <row r="52" spans="1:4" ht="14.25" customHeight="1">
      <c r="A52" s="9" t="s">
        <v>36</v>
      </c>
      <c r="B52" s="22" t="s">
        <v>82</v>
      </c>
      <c r="C52" s="117"/>
      <c r="D52" s="117"/>
    </row>
    <row r="53" spans="1:4" ht="17.25" customHeight="1">
      <c r="A53" s="9" t="s">
        <v>37</v>
      </c>
      <c r="B53" s="22" t="s">
        <v>82</v>
      </c>
      <c r="C53" s="117"/>
      <c r="D53" s="117"/>
    </row>
    <row r="54" spans="1:4" ht="24.75" customHeight="1">
      <c r="A54" s="9" t="s">
        <v>38</v>
      </c>
      <c r="B54" s="22" t="s">
        <v>83</v>
      </c>
      <c r="C54" s="117"/>
      <c r="D54" s="117"/>
    </row>
    <row r="55" spans="1:4" ht="30" customHeight="1">
      <c r="A55" s="9" t="s">
        <v>39</v>
      </c>
      <c r="B55" s="22" t="s">
        <v>83</v>
      </c>
      <c r="C55" s="117"/>
      <c r="D55" s="117"/>
    </row>
    <row r="56" spans="1:4" ht="12.75" customHeight="1">
      <c r="A56" s="108" t="s">
        <v>96</v>
      </c>
      <c r="B56" s="6"/>
      <c r="C56" s="117"/>
      <c r="D56" s="117"/>
    </row>
    <row r="57" spans="1:4" ht="35.25" customHeight="1">
      <c r="A57" s="9" t="s">
        <v>41</v>
      </c>
      <c r="B57" s="22" t="s">
        <v>80</v>
      </c>
      <c r="C57" s="117"/>
      <c r="D57" s="117"/>
    </row>
    <row r="58" spans="1:4" ht="14.25" customHeight="1">
      <c r="A58" s="9" t="s">
        <v>42</v>
      </c>
      <c r="B58" s="22" t="s">
        <v>81</v>
      </c>
      <c r="C58" s="117"/>
      <c r="D58" s="117"/>
    </row>
    <row r="59" spans="1:4" ht="14.25" customHeight="1">
      <c r="A59" s="9" t="s">
        <v>43</v>
      </c>
      <c r="B59" s="23" t="s">
        <v>81</v>
      </c>
      <c r="C59" s="117"/>
      <c r="D59" s="117"/>
    </row>
    <row r="60" spans="1:4" ht="13.5" customHeight="1">
      <c r="A60" s="9" t="s">
        <v>44</v>
      </c>
      <c r="B60" s="23" t="s">
        <v>81</v>
      </c>
      <c r="C60" s="117"/>
      <c r="D60" s="117"/>
    </row>
    <row r="61" spans="1:4" ht="13.5" customHeight="1">
      <c r="A61" s="9" t="s">
        <v>45</v>
      </c>
      <c r="B61" s="21" t="s">
        <v>340</v>
      </c>
      <c r="C61" s="117"/>
      <c r="D61" s="117"/>
    </row>
    <row r="62" spans="1:4" ht="36.75" customHeight="1">
      <c r="A62" s="10" t="s">
        <v>46</v>
      </c>
      <c r="B62" s="22" t="s">
        <v>23</v>
      </c>
      <c r="C62" s="117"/>
      <c r="D62" s="117"/>
    </row>
    <row r="63" spans="1:4">
      <c r="A63" s="128" t="s">
        <v>47</v>
      </c>
      <c r="B63" s="128"/>
      <c r="C63" s="128"/>
      <c r="D63" s="128"/>
    </row>
    <row r="64" spans="1:4" ht="15.75" customHeight="1">
      <c r="A64" s="9" t="s">
        <v>48</v>
      </c>
      <c r="B64" s="22" t="s">
        <v>84</v>
      </c>
      <c r="C64" s="111">
        <v>1.17</v>
      </c>
      <c r="D64" s="113">
        <f>C64*B8*9</f>
        <v>31817.447999999997</v>
      </c>
    </row>
    <row r="65" spans="1:4" ht="12.75" customHeight="1">
      <c r="A65" s="9" t="s">
        <v>49</v>
      </c>
      <c r="B65" s="22" t="s">
        <v>84</v>
      </c>
      <c r="C65" s="112"/>
      <c r="D65" s="114"/>
    </row>
    <row r="66" spans="1:4" ht="24" customHeight="1">
      <c r="A66" s="9" t="s">
        <v>50</v>
      </c>
      <c r="B66" s="22" t="s">
        <v>84</v>
      </c>
      <c r="C66" s="112"/>
      <c r="D66" s="114"/>
    </row>
    <row r="67" spans="1:4" ht="16.5" customHeight="1">
      <c r="A67" s="9" t="s">
        <v>51</v>
      </c>
      <c r="B67" s="22" t="s">
        <v>84</v>
      </c>
      <c r="C67" s="112"/>
      <c r="D67" s="114"/>
    </row>
    <row r="68" spans="1:4" ht="36.75" customHeight="1">
      <c r="A68" s="10" t="s">
        <v>52</v>
      </c>
      <c r="B68" s="22" t="s">
        <v>23</v>
      </c>
      <c r="C68" s="112"/>
      <c r="D68" s="114"/>
    </row>
    <row r="69" spans="1:4" ht="16.5" customHeight="1">
      <c r="A69" s="10" t="s">
        <v>53</v>
      </c>
      <c r="B69" s="23" t="s">
        <v>85</v>
      </c>
      <c r="C69" s="112"/>
      <c r="D69" s="114"/>
    </row>
    <row r="70" spans="1:4">
      <c r="A70" s="121" t="s">
        <v>86</v>
      </c>
      <c r="B70" s="122"/>
      <c r="C70" s="122"/>
      <c r="D70" s="123"/>
    </row>
    <row r="71" spans="1:4" ht="26.25" customHeight="1">
      <c r="A71" s="139" t="s">
        <v>97</v>
      </c>
      <c r="B71" s="141" t="s">
        <v>87</v>
      </c>
      <c r="C71" s="118">
        <v>2.41</v>
      </c>
      <c r="D71" s="117">
        <f>C71*B8*9</f>
        <v>65538.504000000001</v>
      </c>
    </row>
    <row r="72" spans="1:4" ht="3.75" customHeight="1">
      <c r="A72" s="140"/>
      <c r="B72" s="141"/>
      <c r="C72" s="118"/>
      <c r="D72" s="117"/>
    </row>
    <row r="73" spans="1:4" ht="15" customHeight="1">
      <c r="A73" s="121" t="s">
        <v>56</v>
      </c>
      <c r="B73" s="122"/>
      <c r="C73" s="122"/>
      <c r="D73" s="123"/>
    </row>
    <row r="74" spans="1:4" ht="16.5" customHeight="1">
      <c r="A74" s="6" t="s">
        <v>91</v>
      </c>
      <c r="B74" s="21" t="s">
        <v>88</v>
      </c>
      <c r="C74" s="131">
        <v>2.14</v>
      </c>
      <c r="D74" s="133">
        <v>58197.37</v>
      </c>
    </row>
    <row r="75" spans="1:4">
      <c r="A75" s="6" t="s">
        <v>92</v>
      </c>
      <c r="B75" s="21" t="s">
        <v>88</v>
      </c>
      <c r="C75" s="132"/>
      <c r="D75" s="134"/>
    </row>
    <row r="76" spans="1:4" ht="15" customHeight="1">
      <c r="A76" s="6" t="s">
        <v>93</v>
      </c>
      <c r="B76" s="21" t="s">
        <v>88</v>
      </c>
      <c r="C76" s="130"/>
      <c r="D76" s="135"/>
    </row>
    <row r="77" spans="1:4" ht="38.25" customHeight="1">
      <c r="A77" s="6" t="s">
        <v>165</v>
      </c>
      <c r="B77" s="22" t="s">
        <v>23</v>
      </c>
      <c r="C77" s="105">
        <v>4.3499999999999996</v>
      </c>
      <c r="D77" s="105">
        <v>113125.5</v>
      </c>
    </row>
    <row r="78" spans="1:4" ht="18" customHeight="1">
      <c r="A78" s="6" t="s">
        <v>339</v>
      </c>
      <c r="B78" s="22"/>
      <c r="C78" s="105"/>
      <c r="D78" s="105">
        <v>-5868.93</v>
      </c>
    </row>
    <row r="79" spans="1:4">
      <c r="A79" s="108" t="s">
        <v>57</v>
      </c>
      <c r="B79" s="23"/>
      <c r="C79" s="28">
        <f>C77+C74+C71+C64+C51+C47+C40+C33+C29+C22+C19+C18+C17+C16+C14+C13</f>
        <v>21.617323860794865</v>
      </c>
      <c r="D79" s="57">
        <f>D78+D77+D74+D71+D64+D51+D47+D40+D33+D29+D22+D19+D18+D17+D16+D14+D13</f>
        <v>519813.86599999992</v>
      </c>
    </row>
    <row r="80" spans="1:4">
      <c r="C80" t="s">
        <v>284</v>
      </c>
    </row>
    <row r="81" spans="4:4">
      <c r="D81" s="42"/>
    </row>
    <row r="82" spans="4:4">
      <c r="D82" s="42"/>
    </row>
    <row r="83" spans="4:4">
      <c r="D83" s="42"/>
    </row>
    <row r="84" spans="4:4">
      <c r="D84" s="42"/>
    </row>
  </sheetData>
  <mergeCells count="29">
    <mergeCell ref="A70:D70"/>
    <mergeCell ref="A73:D73"/>
    <mergeCell ref="C74:C76"/>
    <mergeCell ref="D74:D76"/>
    <mergeCell ref="A20:D20"/>
    <mergeCell ref="A63:D63"/>
    <mergeCell ref="A71:A72"/>
    <mergeCell ref="B71:B72"/>
    <mergeCell ref="C71:C72"/>
    <mergeCell ref="D71:D72"/>
    <mergeCell ref="A46:D46"/>
    <mergeCell ref="C47:C49"/>
    <mergeCell ref="D47:D49"/>
    <mergeCell ref="A50:D50"/>
    <mergeCell ref="C51:C62"/>
    <mergeCell ref="D51:D62"/>
    <mergeCell ref="C40:C45"/>
    <mergeCell ref="D40:D45"/>
    <mergeCell ref="A12:D12"/>
    <mergeCell ref="C22:C27"/>
    <mergeCell ref="D22:D27"/>
    <mergeCell ref="A28:D28"/>
    <mergeCell ref="C29:C30"/>
    <mergeCell ref="D29:D30"/>
    <mergeCell ref="A31:D31"/>
    <mergeCell ref="A32:D32"/>
    <mergeCell ref="C33:C38"/>
    <mergeCell ref="D33:D38"/>
    <mergeCell ref="A39:D3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4"/>
  <sheetViews>
    <sheetView topLeftCell="A61" workbookViewId="0">
      <selection activeCell="A82" sqref="A82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  <col min="5" max="5" width="10.5703125" bestFit="1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327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25" t="s">
        <v>59</v>
      </c>
      <c r="B4" s="2">
        <v>1988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8</v>
      </c>
      <c r="C6" s="2"/>
      <c r="D6" s="2"/>
    </row>
    <row r="7" spans="1:4">
      <c r="A7" s="25" t="s">
        <v>62</v>
      </c>
      <c r="B7" s="2">
        <v>100</v>
      </c>
      <c r="C7" s="2"/>
      <c r="D7" s="2"/>
    </row>
    <row r="8" spans="1:4">
      <c r="A8" s="25" t="s">
        <v>73</v>
      </c>
      <c r="B8" s="2">
        <v>5466.2</v>
      </c>
      <c r="C8" s="2"/>
      <c r="D8" s="2"/>
    </row>
    <row r="9" spans="1:4">
      <c r="A9" s="25" t="s">
        <v>63</v>
      </c>
      <c r="B9" s="2">
        <v>599.6</v>
      </c>
      <c r="C9" s="2"/>
      <c r="D9" s="2"/>
    </row>
    <row r="10" spans="1:4">
      <c r="A10" s="25" t="s">
        <v>74</v>
      </c>
      <c r="B10" s="48">
        <v>1149.7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0.14000000000000001</v>
      </c>
      <c r="D13" s="29">
        <f>C13*9*B8</f>
        <v>6887.4120000000012</v>
      </c>
    </row>
    <row r="14" spans="1:4" ht="75.75" customHeight="1">
      <c r="A14" s="6" t="s">
        <v>90</v>
      </c>
      <c r="B14" s="107" t="s">
        <v>9</v>
      </c>
      <c r="C14" s="26">
        <v>1.79</v>
      </c>
      <c r="D14" s="29">
        <f>C14*9*B8</f>
        <v>88060.481999999989</v>
      </c>
    </row>
    <row r="15" spans="1:4">
      <c r="A15" s="6" t="s">
        <v>10</v>
      </c>
      <c r="B15" s="107"/>
      <c r="C15" s="26"/>
      <c r="D15" s="30"/>
    </row>
    <row r="16" spans="1:4">
      <c r="A16" s="6" t="s">
        <v>329</v>
      </c>
      <c r="B16" s="107" t="s">
        <v>182</v>
      </c>
      <c r="C16" s="46">
        <f>10090/9/B8</f>
        <v>0.20509880924794394</v>
      </c>
      <c r="D16" s="30">
        <f>C16*9*B8</f>
        <v>10090</v>
      </c>
    </row>
    <row r="17" spans="1:4">
      <c r="A17" s="6" t="s">
        <v>330</v>
      </c>
      <c r="B17" s="107" t="s">
        <v>182</v>
      </c>
      <c r="C17" s="46">
        <f>18564/9/B8</f>
        <v>0.37734928591465122</v>
      </c>
      <c r="D17" s="30">
        <f>C17*9*B8</f>
        <v>18563.999999999996</v>
      </c>
    </row>
    <row r="18" spans="1:4">
      <c r="A18" s="6" t="s">
        <v>331</v>
      </c>
      <c r="B18" s="107" t="s">
        <v>126</v>
      </c>
      <c r="C18" s="46">
        <v>0.38</v>
      </c>
      <c r="D18" s="30">
        <f>C18*9*B8</f>
        <v>18694.403999999999</v>
      </c>
    </row>
    <row r="19" spans="1:4">
      <c r="A19" s="6" t="s">
        <v>332</v>
      </c>
      <c r="B19" s="107" t="s">
        <v>108</v>
      </c>
      <c r="C19" s="46">
        <f>5686/9/B8</f>
        <v>0.11557897218868279</v>
      </c>
      <c r="D19" s="30">
        <f>C19*9*B8</f>
        <v>5686.0000000000009</v>
      </c>
    </row>
    <row r="20" spans="1:4">
      <c r="A20" s="6" t="s">
        <v>333</v>
      </c>
      <c r="B20" s="107" t="s">
        <v>108</v>
      </c>
      <c r="C20" s="46">
        <f>10758/9/B8</f>
        <v>0.21867720415157391</v>
      </c>
      <c r="D20" s="30">
        <f>C20*9*B8</f>
        <v>10757.999999999998</v>
      </c>
    </row>
    <row r="21" spans="1:4">
      <c r="A21" s="124" t="s">
        <v>11</v>
      </c>
      <c r="B21" s="124"/>
      <c r="C21" s="124"/>
      <c r="D21" s="124"/>
    </row>
    <row r="22" spans="1:4" ht="13.5" customHeight="1">
      <c r="A22" s="41" t="s">
        <v>98</v>
      </c>
      <c r="B22" s="108"/>
      <c r="C22" s="108"/>
      <c r="D22" s="108"/>
    </row>
    <row r="23" spans="1:4" ht="13.5" customHeight="1">
      <c r="A23" s="6" t="s">
        <v>12</v>
      </c>
      <c r="B23" s="107" t="s">
        <v>76</v>
      </c>
      <c r="C23" s="118">
        <v>2.16</v>
      </c>
      <c r="D23" s="125">
        <f>C23*B8*9</f>
        <v>106262.928</v>
      </c>
    </row>
    <row r="24" spans="1:4" ht="12.75" customHeight="1">
      <c r="A24" s="6" t="s">
        <v>13</v>
      </c>
      <c r="B24" s="107" t="s">
        <v>76</v>
      </c>
      <c r="C24" s="118"/>
      <c r="D24" s="126"/>
    </row>
    <row r="25" spans="1:4" ht="14.25" customHeight="1">
      <c r="A25" s="6" t="s">
        <v>14</v>
      </c>
      <c r="B25" s="107" t="s">
        <v>76</v>
      </c>
      <c r="C25" s="118"/>
      <c r="D25" s="126"/>
    </row>
    <row r="26" spans="1:4" ht="13.5" customHeight="1">
      <c r="A26" s="6" t="s">
        <v>15</v>
      </c>
      <c r="B26" s="107" t="s">
        <v>77</v>
      </c>
      <c r="C26" s="118"/>
      <c r="D26" s="126"/>
    </row>
    <row r="27" spans="1:4" ht="12.75" customHeight="1">
      <c r="A27" s="41" t="s">
        <v>94</v>
      </c>
      <c r="B27" s="107"/>
      <c r="C27" s="118"/>
      <c r="D27" s="126"/>
    </row>
    <row r="28" spans="1:4" ht="30" customHeight="1">
      <c r="A28" s="6" t="s">
        <v>16</v>
      </c>
      <c r="B28" s="107" t="s">
        <v>95</v>
      </c>
      <c r="C28" s="118"/>
      <c r="D28" s="127"/>
    </row>
    <row r="29" spans="1:4" ht="12.75" customHeight="1">
      <c r="A29" s="121" t="s">
        <v>17</v>
      </c>
      <c r="B29" s="122"/>
      <c r="C29" s="122"/>
      <c r="D29" s="123"/>
    </row>
    <row r="30" spans="1:4" ht="12" customHeight="1">
      <c r="A30" s="7" t="s">
        <v>18</v>
      </c>
      <c r="B30" s="21" t="s">
        <v>79</v>
      </c>
      <c r="C30" s="118">
        <v>0.2</v>
      </c>
      <c r="D30" s="128">
        <f>C30*B8*9</f>
        <v>9839.16</v>
      </c>
    </row>
    <row r="31" spans="1:4" ht="12" customHeight="1">
      <c r="A31" s="7" t="s">
        <v>19</v>
      </c>
      <c r="B31" s="21" t="s">
        <v>78</v>
      </c>
      <c r="C31" s="118"/>
      <c r="D31" s="128"/>
    </row>
    <row r="32" spans="1:4" ht="13.5" customHeight="1">
      <c r="A32" s="121" t="s">
        <v>20</v>
      </c>
      <c r="B32" s="122"/>
      <c r="C32" s="122"/>
      <c r="D32" s="123"/>
    </row>
    <row r="33" spans="1:4">
      <c r="A33" s="128" t="s">
        <v>21</v>
      </c>
      <c r="B33" s="128"/>
      <c r="C33" s="128"/>
      <c r="D33" s="128"/>
    </row>
    <row r="34" spans="1:4" ht="37.5" customHeight="1">
      <c r="A34" s="8" t="s">
        <v>22</v>
      </c>
      <c r="B34" s="22" t="s">
        <v>80</v>
      </c>
      <c r="C34" s="118">
        <v>0.61</v>
      </c>
      <c r="D34" s="117">
        <f>C34*B8*9</f>
        <v>30009.437999999995</v>
      </c>
    </row>
    <row r="35" spans="1:4" ht="15" customHeight="1">
      <c r="A35" s="9" t="s">
        <v>24</v>
      </c>
      <c r="B35" s="23" t="s">
        <v>81</v>
      </c>
      <c r="C35" s="118"/>
      <c r="D35" s="126"/>
    </row>
    <row r="36" spans="1:4" ht="13.5" customHeight="1">
      <c r="A36" s="9" t="s">
        <v>26</v>
      </c>
      <c r="B36" s="23" t="s">
        <v>81</v>
      </c>
      <c r="C36" s="118"/>
      <c r="D36" s="126"/>
    </row>
    <row r="37" spans="1:4" ht="36" customHeight="1">
      <c r="A37" s="9" t="s">
        <v>27</v>
      </c>
      <c r="B37" s="22" t="s">
        <v>23</v>
      </c>
      <c r="C37" s="118"/>
      <c r="D37" s="126"/>
    </row>
    <row r="38" spans="1:4" ht="14.25" customHeight="1">
      <c r="A38" s="9" t="s">
        <v>28</v>
      </c>
      <c r="B38" s="22" t="s">
        <v>25</v>
      </c>
      <c r="C38" s="118"/>
      <c r="D38" s="126"/>
    </row>
    <row r="39" spans="1:4" ht="33.75" customHeight="1">
      <c r="A39" s="24" t="s">
        <v>29</v>
      </c>
      <c r="B39" s="22" t="s">
        <v>23</v>
      </c>
      <c r="C39" s="129"/>
      <c r="D39" s="127"/>
    </row>
    <row r="40" spans="1:4" ht="15.75" customHeight="1">
      <c r="A40" s="128" t="s">
        <v>66</v>
      </c>
      <c r="B40" s="128"/>
      <c r="C40" s="128"/>
      <c r="D40" s="128"/>
    </row>
    <row r="41" spans="1:4" ht="36.75" customHeight="1">
      <c r="A41" s="9" t="s">
        <v>67</v>
      </c>
      <c r="B41" s="22" t="s">
        <v>80</v>
      </c>
      <c r="C41" s="117">
        <v>1</v>
      </c>
      <c r="D41" s="118">
        <f>C41*9*B8</f>
        <v>49195.799999999996</v>
      </c>
    </row>
    <row r="42" spans="1:4" ht="14.25" customHeight="1">
      <c r="A42" s="9" t="s">
        <v>68</v>
      </c>
      <c r="B42" s="22" t="s">
        <v>81</v>
      </c>
      <c r="C42" s="117"/>
      <c r="D42" s="119"/>
    </row>
    <row r="43" spans="1:4" ht="14.25" customHeight="1">
      <c r="A43" s="9" t="s">
        <v>69</v>
      </c>
      <c r="B43" s="22" t="s">
        <v>81</v>
      </c>
      <c r="C43" s="117"/>
      <c r="D43" s="119"/>
    </row>
    <row r="44" spans="1:4" ht="24" customHeight="1">
      <c r="A44" s="9" t="s">
        <v>70</v>
      </c>
      <c r="B44" s="22" t="s">
        <v>80</v>
      </c>
      <c r="C44" s="117"/>
      <c r="D44" s="119"/>
    </row>
    <row r="45" spans="1:4" ht="25.5" customHeight="1">
      <c r="A45" s="10" t="s">
        <v>71</v>
      </c>
      <c r="B45" s="22" t="s">
        <v>80</v>
      </c>
      <c r="C45" s="117"/>
      <c r="D45" s="119"/>
    </row>
    <row r="46" spans="1:4" ht="14.25" customHeight="1">
      <c r="A46" s="9" t="s">
        <v>72</v>
      </c>
      <c r="B46" s="22" t="s">
        <v>25</v>
      </c>
      <c r="C46" s="117"/>
      <c r="D46" s="120"/>
    </row>
    <row r="47" spans="1:4" ht="11.25" customHeight="1">
      <c r="A47" s="130" t="s">
        <v>30</v>
      </c>
      <c r="B47" s="130"/>
      <c r="C47" s="130"/>
      <c r="D47" s="130"/>
    </row>
    <row r="48" spans="1:4" ht="35.25" customHeight="1">
      <c r="A48" s="9" t="s">
        <v>31</v>
      </c>
      <c r="B48" s="22" t="s">
        <v>23</v>
      </c>
      <c r="C48" s="117">
        <v>0.7</v>
      </c>
      <c r="D48" s="118">
        <f>C48*9*B8</f>
        <v>34437.06</v>
      </c>
    </row>
    <row r="49" spans="1:4" ht="38.25" customHeight="1">
      <c r="A49" s="9" t="s">
        <v>32</v>
      </c>
      <c r="B49" s="22" t="s">
        <v>23</v>
      </c>
      <c r="C49" s="117"/>
      <c r="D49" s="118"/>
    </row>
    <row r="50" spans="1:4" ht="15" customHeight="1">
      <c r="A50" s="10" t="s">
        <v>33</v>
      </c>
      <c r="B50" s="22" t="s">
        <v>23</v>
      </c>
      <c r="C50" s="117"/>
      <c r="D50" s="118"/>
    </row>
    <row r="51" spans="1:4" ht="12.75" customHeight="1">
      <c r="A51" s="128" t="s">
        <v>34</v>
      </c>
      <c r="B51" s="128"/>
      <c r="C51" s="128"/>
      <c r="D51" s="128"/>
    </row>
    <row r="52" spans="1:4" ht="29.25" customHeight="1">
      <c r="A52" s="9" t="s">
        <v>35</v>
      </c>
      <c r="B52" s="22" t="s">
        <v>78</v>
      </c>
      <c r="C52" s="117">
        <v>3.32</v>
      </c>
      <c r="D52" s="117">
        <f>C52*9*B8+53922.25-53702.41</f>
        <v>163549.89599999998</v>
      </c>
    </row>
    <row r="53" spans="1:4" ht="14.25" customHeight="1">
      <c r="A53" s="9" t="s">
        <v>36</v>
      </c>
      <c r="B53" s="22" t="s">
        <v>82</v>
      </c>
      <c r="C53" s="117"/>
      <c r="D53" s="117"/>
    </row>
    <row r="54" spans="1:4" ht="17.25" customHeight="1">
      <c r="A54" s="9" t="s">
        <v>37</v>
      </c>
      <c r="B54" s="22" t="s">
        <v>82</v>
      </c>
      <c r="C54" s="117"/>
      <c r="D54" s="117"/>
    </row>
    <row r="55" spans="1:4" ht="24.75" customHeight="1">
      <c r="A55" s="9" t="s">
        <v>38</v>
      </c>
      <c r="B55" s="22" t="s">
        <v>83</v>
      </c>
      <c r="C55" s="117"/>
      <c r="D55" s="117"/>
    </row>
    <row r="56" spans="1:4" ht="30" customHeight="1">
      <c r="A56" s="9" t="s">
        <v>39</v>
      </c>
      <c r="B56" s="22" t="s">
        <v>83</v>
      </c>
      <c r="C56" s="117"/>
      <c r="D56" s="117"/>
    </row>
    <row r="57" spans="1:4" ht="12.75" customHeight="1">
      <c r="A57" s="108" t="s">
        <v>96</v>
      </c>
      <c r="B57" s="6"/>
      <c r="C57" s="117"/>
      <c r="D57" s="117"/>
    </row>
    <row r="58" spans="1:4" ht="35.25" customHeight="1">
      <c r="A58" s="9" t="s">
        <v>41</v>
      </c>
      <c r="B58" s="22" t="s">
        <v>80</v>
      </c>
      <c r="C58" s="117"/>
      <c r="D58" s="117"/>
    </row>
    <row r="59" spans="1:4" ht="14.25" customHeight="1">
      <c r="A59" s="9" t="s">
        <v>42</v>
      </c>
      <c r="B59" s="22" t="s">
        <v>81</v>
      </c>
      <c r="C59" s="117"/>
      <c r="D59" s="117"/>
    </row>
    <row r="60" spans="1:4" ht="14.25" customHeight="1">
      <c r="A60" s="9" t="s">
        <v>43</v>
      </c>
      <c r="B60" s="23" t="s">
        <v>81</v>
      </c>
      <c r="C60" s="117"/>
      <c r="D60" s="117"/>
    </row>
    <row r="61" spans="1:4" ht="13.5" customHeight="1">
      <c r="A61" s="9" t="s">
        <v>44</v>
      </c>
      <c r="B61" s="23" t="s">
        <v>81</v>
      </c>
      <c r="C61" s="117"/>
      <c r="D61" s="117"/>
    </row>
    <row r="62" spans="1:4" ht="13.5" customHeight="1">
      <c r="A62" s="9" t="s">
        <v>45</v>
      </c>
      <c r="B62" s="21" t="s">
        <v>328</v>
      </c>
      <c r="C62" s="117"/>
      <c r="D62" s="117"/>
    </row>
    <row r="63" spans="1:4" ht="36.75" customHeight="1">
      <c r="A63" s="10" t="s">
        <v>46</v>
      </c>
      <c r="B63" s="22" t="s">
        <v>23</v>
      </c>
      <c r="C63" s="117"/>
      <c r="D63" s="117"/>
    </row>
    <row r="64" spans="1:4">
      <c r="A64" s="128" t="s">
        <v>47</v>
      </c>
      <c r="B64" s="128"/>
      <c r="C64" s="128"/>
      <c r="D64" s="128"/>
    </row>
    <row r="65" spans="1:5" ht="15.75" customHeight="1">
      <c r="A65" s="9" t="s">
        <v>48</v>
      </c>
      <c r="B65" s="22" t="s">
        <v>84</v>
      </c>
      <c r="C65" s="129">
        <v>1.5</v>
      </c>
      <c r="D65" s="125">
        <f>C65*9*B8</f>
        <v>73793.7</v>
      </c>
    </row>
    <row r="66" spans="1:5" ht="12.75" customHeight="1">
      <c r="A66" s="9" t="s">
        <v>49</v>
      </c>
      <c r="B66" s="22" t="s">
        <v>84</v>
      </c>
      <c r="C66" s="119"/>
      <c r="D66" s="126"/>
    </row>
    <row r="67" spans="1:5" ht="29.25" customHeight="1">
      <c r="A67" s="9" t="s">
        <v>50</v>
      </c>
      <c r="B67" s="22" t="s">
        <v>84</v>
      </c>
      <c r="C67" s="119"/>
      <c r="D67" s="126"/>
    </row>
    <row r="68" spans="1:5" ht="19.5" customHeight="1">
      <c r="A68" s="9" t="s">
        <v>51</v>
      </c>
      <c r="B68" s="22" t="s">
        <v>84</v>
      </c>
      <c r="C68" s="119"/>
      <c r="D68" s="126"/>
    </row>
    <row r="69" spans="1:5" ht="36.75" customHeight="1">
      <c r="A69" s="10" t="s">
        <v>52</v>
      </c>
      <c r="B69" s="22" t="s">
        <v>23</v>
      </c>
      <c r="C69" s="119"/>
      <c r="D69" s="126"/>
    </row>
    <row r="70" spans="1:5" ht="16.5" customHeight="1">
      <c r="A70" s="10" t="s">
        <v>53</v>
      </c>
      <c r="B70" s="23" t="s">
        <v>85</v>
      </c>
      <c r="C70" s="120"/>
      <c r="D70" s="127"/>
    </row>
    <row r="71" spans="1:5">
      <c r="A71" s="121" t="s">
        <v>86</v>
      </c>
      <c r="B71" s="122"/>
      <c r="C71" s="122"/>
      <c r="D71" s="123"/>
    </row>
    <row r="72" spans="1:5" ht="26.25" customHeight="1">
      <c r="A72" s="139" t="s">
        <v>97</v>
      </c>
      <c r="B72" s="141" t="s">
        <v>87</v>
      </c>
      <c r="C72" s="118">
        <v>2.41</v>
      </c>
      <c r="D72" s="117">
        <f>C72*B8*9</f>
        <v>118561.878</v>
      </c>
    </row>
    <row r="73" spans="1:5" ht="3.75" customHeight="1">
      <c r="A73" s="140"/>
      <c r="B73" s="141"/>
      <c r="C73" s="118"/>
      <c r="D73" s="117"/>
    </row>
    <row r="74" spans="1:5" ht="15" customHeight="1">
      <c r="A74" s="121" t="s">
        <v>56</v>
      </c>
      <c r="B74" s="122"/>
      <c r="C74" s="122"/>
      <c r="D74" s="123"/>
    </row>
    <row r="75" spans="1:5" ht="16.5" customHeight="1">
      <c r="A75" s="6" t="s">
        <v>91</v>
      </c>
      <c r="B75" s="21" t="s">
        <v>88</v>
      </c>
      <c r="C75" s="131">
        <v>2.14</v>
      </c>
      <c r="D75" s="133">
        <v>105287.17</v>
      </c>
    </row>
    <row r="76" spans="1:5">
      <c r="A76" s="6" t="s">
        <v>92</v>
      </c>
      <c r="B76" s="21" t="s">
        <v>88</v>
      </c>
      <c r="C76" s="132"/>
      <c r="D76" s="134"/>
    </row>
    <row r="77" spans="1:5" ht="15" customHeight="1">
      <c r="A77" s="6" t="s">
        <v>93</v>
      </c>
      <c r="B77" s="21" t="s">
        <v>88</v>
      </c>
      <c r="C77" s="130"/>
      <c r="D77" s="135"/>
    </row>
    <row r="78" spans="1:5" ht="38.25" customHeight="1">
      <c r="A78" s="6" t="s">
        <v>165</v>
      </c>
      <c r="B78" s="22" t="s">
        <v>23</v>
      </c>
      <c r="C78" s="105">
        <v>4.3499999999999996</v>
      </c>
      <c r="D78" s="105">
        <v>214020.59</v>
      </c>
      <c r="E78" s="42"/>
    </row>
    <row r="79" spans="1:5">
      <c r="A79" s="108" t="s">
        <v>57</v>
      </c>
      <c r="B79" s="23"/>
      <c r="C79" s="28">
        <f>C78+C75+C72+C65+C52+C48+C41+C34+C30+C23+C20+C19+C18+C17+C16+C14+C13</f>
        <v>21.616704271502851</v>
      </c>
      <c r="D79" s="57">
        <f>D78+D75+D72+D65+D52+D48+D41+D34+D30+D23+D20+D19+D18+D17+D16+D14+D13</f>
        <v>1063697.9180000001</v>
      </c>
    </row>
    <row r="80" spans="1:5">
      <c r="C80" t="s">
        <v>284</v>
      </c>
    </row>
    <row r="81" spans="4:4">
      <c r="D81" s="42"/>
    </row>
    <row r="82" spans="4:4">
      <c r="D82" s="42"/>
    </row>
    <row r="83" spans="4:4">
      <c r="D83" s="42"/>
    </row>
    <row r="84" spans="4:4">
      <c r="D84" s="42"/>
    </row>
  </sheetData>
  <mergeCells count="31">
    <mergeCell ref="A74:D74"/>
    <mergeCell ref="C75:C77"/>
    <mergeCell ref="D75:D77"/>
    <mergeCell ref="A47:D47"/>
    <mergeCell ref="C48:C50"/>
    <mergeCell ref="D48:D50"/>
    <mergeCell ref="A51:D51"/>
    <mergeCell ref="C52:C63"/>
    <mergeCell ref="D52:D63"/>
    <mergeCell ref="A64:D64"/>
    <mergeCell ref="A72:A73"/>
    <mergeCell ref="B72:B73"/>
    <mergeCell ref="C72:C73"/>
    <mergeCell ref="D72:D73"/>
    <mergeCell ref="C65:C70"/>
    <mergeCell ref="D65:D70"/>
    <mergeCell ref="A71:D71"/>
    <mergeCell ref="A40:D40"/>
    <mergeCell ref="C41:C46"/>
    <mergeCell ref="D41:D46"/>
    <mergeCell ref="A12:D12"/>
    <mergeCell ref="C23:C28"/>
    <mergeCell ref="D23:D28"/>
    <mergeCell ref="A29:D29"/>
    <mergeCell ref="C30:C31"/>
    <mergeCell ref="D30:D31"/>
    <mergeCell ref="A21:D21"/>
    <mergeCell ref="A32:D32"/>
    <mergeCell ref="A33:D33"/>
    <mergeCell ref="C34:C39"/>
    <mergeCell ref="D34:D3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0"/>
  <sheetViews>
    <sheetView topLeftCell="A54" workbookViewId="0">
      <selection activeCell="A78" sqref="A78:XFD7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324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1984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1</v>
      </c>
      <c r="C6" s="2"/>
      <c r="D6" s="2"/>
    </row>
    <row r="7" spans="1:4">
      <c r="A7" s="25" t="s">
        <v>62</v>
      </c>
      <c r="B7" s="2">
        <v>34</v>
      </c>
      <c r="C7" s="2"/>
      <c r="D7" s="2"/>
    </row>
    <row r="8" spans="1:4">
      <c r="A8" s="25" t="s">
        <v>73</v>
      </c>
      <c r="B8" s="2">
        <v>1533.6</v>
      </c>
      <c r="C8" s="2"/>
      <c r="D8" s="2"/>
    </row>
    <row r="9" spans="1:4">
      <c r="A9" s="25" t="s">
        <v>63</v>
      </c>
      <c r="B9" s="2">
        <v>893.4</v>
      </c>
      <c r="C9" s="2"/>
      <c r="D9" s="2"/>
    </row>
    <row r="10" spans="1:4">
      <c r="A10" s="25" t="s">
        <v>74</v>
      </c>
      <c r="B10" s="48">
        <v>509.3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0.14000000000000001</v>
      </c>
      <c r="D13" s="29">
        <f>C13*8*B8</f>
        <v>1717.6320000000001</v>
      </c>
    </row>
    <row r="14" spans="1:4" ht="75.75" customHeight="1">
      <c r="A14" s="6" t="s">
        <v>90</v>
      </c>
      <c r="B14" s="107" t="s">
        <v>9</v>
      </c>
      <c r="C14" s="26">
        <v>1.79</v>
      </c>
      <c r="D14" s="29">
        <f>C14*8*B8</f>
        <v>21961.151999999998</v>
      </c>
    </row>
    <row r="15" spans="1:4">
      <c r="A15" s="6" t="s">
        <v>10</v>
      </c>
      <c r="B15" s="107"/>
      <c r="C15" s="26"/>
      <c r="D15" s="30"/>
    </row>
    <row r="16" spans="1:4">
      <c r="A16" s="6" t="s">
        <v>326</v>
      </c>
      <c r="B16" s="107" t="s">
        <v>25</v>
      </c>
      <c r="C16" s="46">
        <v>3</v>
      </c>
      <c r="D16" s="30">
        <f>C16*8*B8</f>
        <v>36806.399999999994</v>
      </c>
    </row>
    <row r="17" spans="1:4">
      <c r="A17" s="124" t="s">
        <v>11</v>
      </c>
      <c r="B17" s="124"/>
      <c r="C17" s="124"/>
      <c r="D17" s="124"/>
    </row>
    <row r="18" spans="1:4" ht="13.5" customHeight="1">
      <c r="A18" s="41" t="s">
        <v>98</v>
      </c>
      <c r="B18" s="108"/>
      <c r="C18" s="108"/>
      <c r="D18" s="108"/>
    </row>
    <row r="19" spans="1:4" ht="13.5" customHeight="1">
      <c r="A19" s="6" t="s">
        <v>12</v>
      </c>
      <c r="B19" s="107" t="s">
        <v>76</v>
      </c>
      <c r="C19" s="118">
        <v>2.16</v>
      </c>
      <c r="D19" s="125">
        <f>C19*B8*8</f>
        <v>26500.608</v>
      </c>
    </row>
    <row r="20" spans="1:4" ht="12.75" customHeight="1">
      <c r="A20" s="6" t="s">
        <v>13</v>
      </c>
      <c r="B20" s="107" t="s">
        <v>76</v>
      </c>
      <c r="C20" s="118"/>
      <c r="D20" s="126"/>
    </row>
    <row r="21" spans="1:4" ht="14.25" customHeight="1">
      <c r="A21" s="6" t="s">
        <v>14</v>
      </c>
      <c r="B21" s="107" t="s">
        <v>76</v>
      </c>
      <c r="C21" s="118"/>
      <c r="D21" s="126"/>
    </row>
    <row r="22" spans="1:4" ht="13.5" customHeight="1">
      <c r="A22" s="6" t="s">
        <v>15</v>
      </c>
      <c r="B22" s="107" t="s">
        <v>77</v>
      </c>
      <c r="C22" s="118"/>
      <c r="D22" s="126"/>
    </row>
    <row r="23" spans="1:4" ht="12.75" customHeight="1">
      <c r="A23" s="41" t="s">
        <v>94</v>
      </c>
      <c r="B23" s="107"/>
      <c r="C23" s="118"/>
      <c r="D23" s="126"/>
    </row>
    <row r="24" spans="1:4" ht="30" customHeight="1">
      <c r="A24" s="6" t="s">
        <v>16</v>
      </c>
      <c r="B24" s="107" t="s">
        <v>95</v>
      </c>
      <c r="C24" s="118"/>
      <c r="D24" s="127"/>
    </row>
    <row r="25" spans="1:4" ht="12.75" customHeight="1">
      <c r="A25" s="121" t="s">
        <v>17</v>
      </c>
      <c r="B25" s="122"/>
      <c r="C25" s="122"/>
      <c r="D25" s="123"/>
    </row>
    <row r="26" spans="1:4" ht="12" customHeight="1">
      <c r="A26" s="7" t="s">
        <v>18</v>
      </c>
      <c r="B26" s="21" t="s">
        <v>79</v>
      </c>
      <c r="C26" s="118">
        <v>0.2</v>
      </c>
      <c r="D26" s="128">
        <f>C26*B8*8</f>
        <v>2453.7599999999998</v>
      </c>
    </row>
    <row r="27" spans="1:4" ht="12" customHeight="1">
      <c r="A27" s="7" t="s">
        <v>19</v>
      </c>
      <c r="B27" s="21" t="s">
        <v>78</v>
      </c>
      <c r="C27" s="118"/>
      <c r="D27" s="128"/>
    </row>
    <row r="28" spans="1:4" ht="13.5" customHeight="1">
      <c r="A28" s="121" t="s">
        <v>20</v>
      </c>
      <c r="B28" s="122"/>
      <c r="C28" s="122"/>
      <c r="D28" s="123"/>
    </row>
    <row r="29" spans="1:4">
      <c r="A29" s="128" t="s">
        <v>21</v>
      </c>
      <c r="B29" s="128"/>
      <c r="C29" s="128"/>
      <c r="D29" s="128"/>
    </row>
    <row r="30" spans="1:4" ht="37.5" customHeight="1">
      <c r="A30" s="8" t="s">
        <v>22</v>
      </c>
      <c r="B30" s="22" t="s">
        <v>80</v>
      </c>
      <c r="C30" s="118">
        <v>0.61</v>
      </c>
      <c r="D30" s="117">
        <f>C30*B8*8</f>
        <v>7483.9679999999998</v>
      </c>
    </row>
    <row r="31" spans="1:4" ht="15" customHeight="1">
      <c r="A31" s="9" t="s">
        <v>24</v>
      </c>
      <c r="B31" s="23" t="s">
        <v>81</v>
      </c>
      <c r="C31" s="118"/>
      <c r="D31" s="126"/>
    </row>
    <row r="32" spans="1:4" ht="13.5" customHeight="1">
      <c r="A32" s="9" t="s">
        <v>26</v>
      </c>
      <c r="B32" s="23" t="s">
        <v>81</v>
      </c>
      <c r="C32" s="118"/>
      <c r="D32" s="126"/>
    </row>
    <row r="33" spans="1:4" ht="36" customHeight="1">
      <c r="A33" s="9" t="s">
        <v>27</v>
      </c>
      <c r="B33" s="22" t="s">
        <v>23</v>
      </c>
      <c r="C33" s="118"/>
      <c r="D33" s="126"/>
    </row>
    <row r="34" spans="1:4" ht="14.25" customHeight="1">
      <c r="A34" s="9" t="s">
        <v>28</v>
      </c>
      <c r="B34" s="22" t="s">
        <v>25</v>
      </c>
      <c r="C34" s="118"/>
      <c r="D34" s="126"/>
    </row>
    <row r="35" spans="1:4" ht="33.75" customHeight="1">
      <c r="A35" s="24" t="s">
        <v>29</v>
      </c>
      <c r="B35" s="22" t="s">
        <v>23</v>
      </c>
      <c r="C35" s="129"/>
      <c r="D35" s="127"/>
    </row>
    <row r="36" spans="1:4" ht="15.75" customHeight="1">
      <c r="A36" s="128" t="s">
        <v>66</v>
      </c>
      <c r="B36" s="128"/>
      <c r="C36" s="128"/>
      <c r="D36" s="128"/>
    </row>
    <row r="37" spans="1:4" ht="36.75" customHeight="1">
      <c r="A37" s="9" t="s">
        <v>67</v>
      </c>
      <c r="B37" s="22" t="s">
        <v>80</v>
      </c>
      <c r="C37" s="117">
        <v>1</v>
      </c>
      <c r="D37" s="118">
        <f>C37*B8*8</f>
        <v>12268.8</v>
      </c>
    </row>
    <row r="38" spans="1:4" ht="14.25" customHeight="1">
      <c r="A38" s="9" t="s">
        <v>68</v>
      </c>
      <c r="B38" s="22" t="s">
        <v>81</v>
      </c>
      <c r="C38" s="117"/>
      <c r="D38" s="119"/>
    </row>
    <row r="39" spans="1:4" ht="14.25" customHeight="1">
      <c r="A39" s="9" t="s">
        <v>69</v>
      </c>
      <c r="B39" s="22" t="s">
        <v>81</v>
      </c>
      <c r="C39" s="117"/>
      <c r="D39" s="119"/>
    </row>
    <row r="40" spans="1:4" ht="24" customHeight="1">
      <c r="A40" s="9" t="s">
        <v>70</v>
      </c>
      <c r="B40" s="22" t="s">
        <v>80</v>
      </c>
      <c r="C40" s="117"/>
      <c r="D40" s="119"/>
    </row>
    <row r="41" spans="1:4" ht="25.5" customHeight="1">
      <c r="A41" s="10" t="s">
        <v>71</v>
      </c>
      <c r="B41" s="22" t="s">
        <v>80</v>
      </c>
      <c r="C41" s="117"/>
      <c r="D41" s="119"/>
    </row>
    <row r="42" spans="1:4" ht="14.25" customHeight="1">
      <c r="A42" s="9" t="s">
        <v>72</v>
      </c>
      <c r="B42" s="22" t="s">
        <v>25</v>
      </c>
      <c r="C42" s="117"/>
      <c r="D42" s="120"/>
    </row>
    <row r="43" spans="1:4" ht="11.25" customHeight="1">
      <c r="A43" s="130" t="s">
        <v>30</v>
      </c>
      <c r="B43" s="130"/>
      <c r="C43" s="130"/>
      <c r="D43" s="130"/>
    </row>
    <row r="44" spans="1:4" ht="35.25" customHeight="1">
      <c r="A44" s="9" t="s">
        <v>31</v>
      </c>
      <c r="B44" s="22" t="s">
        <v>23</v>
      </c>
      <c r="C44" s="117">
        <v>0.7</v>
      </c>
      <c r="D44" s="118">
        <f>C44*8*B8</f>
        <v>8588.16</v>
      </c>
    </row>
    <row r="45" spans="1:4" ht="38.25" customHeight="1">
      <c r="A45" s="9" t="s">
        <v>32</v>
      </c>
      <c r="B45" s="22" t="s">
        <v>23</v>
      </c>
      <c r="C45" s="117"/>
      <c r="D45" s="118"/>
    </row>
    <row r="46" spans="1:4" ht="15" customHeight="1">
      <c r="A46" s="10" t="s">
        <v>33</v>
      </c>
      <c r="B46" s="22" t="s">
        <v>23</v>
      </c>
      <c r="C46" s="117"/>
      <c r="D46" s="118"/>
    </row>
    <row r="47" spans="1:4" ht="12.75" customHeight="1">
      <c r="A47" s="128" t="s">
        <v>34</v>
      </c>
      <c r="B47" s="128"/>
      <c r="C47" s="128"/>
      <c r="D47" s="128"/>
    </row>
    <row r="48" spans="1:4" ht="29.25" customHeight="1">
      <c r="A48" s="9" t="s">
        <v>35</v>
      </c>
      <c r="B48" s="22" t="s">
        <v>78</v>
      </c>
      <c r="C48" s="117">
        <v>1.62</v>
      </c>
      <c r="D48" s="117">
        <f>C48*8*B8+1095.71</f>
        <v>20971.165999999997</v>
      </c>
    </row>
    <row r="49" spans="1:4" ht="14.25" customHeight="1">
      <c r="A49" s="9" t="s">
        <v>36</v>
      </c>
      <c r="B49" s="22" t="s">
        <v>82</v>
      </c>
      <c r="C49" s="117"/>
      <c r="D49" s="117"/>
    </row>
    <row r="50" spans="1:4" ht="17.25" customHeight="1">
      <c r="A50" s="9" t="s">
        <v>37</v>
      </c>
      <c r="B50" s="22" t="s">
        <v>82</v>
      </c>
      <c r="C50" s="117"/>
      <c r="D50" s="117"/>
    </row>
    <row r="51" spans="1:4" ht="24.75" customHeight="1">
      <c r="A51" s="9" t="s">
        <v>38</v>
      </c>
      <c r="B51" s="22" t="s">
        <v>83</v>
      </c>
      <c r="C51" s="117"/>
      <c r="D51" s="117"/>
    </row>
    <row r="52" spans="1:4" ht="30" customHeight="1">
      <c r="A52" s="9" t="s">
        <v>39</v>
      </c>
      <c r="B52" s="22" t="s">
        <v>83</v>
      </c>
      <c r="C52" s="117"/>
      <c r="D52" s="117"/>
    </row>
    <row r="53" spans="1:4" ht="12.75" customHeight="1">
      <c r="A53" s="108" t="s">
        <v>96</v>
      </c>
      <c r="B53" s="6"/>
      <c r="C53" s="117"/>
      <c r="D53" s="117"/>
    </row>
    <row r="54" spans="1:4" ht="35.25" customHeight="1">
      <c r="A54" s="9" t="s">
        <v>41</v>
      </c>
      <c r="B54" s="22" t="s">
        <v>80</v>
      </c>
      <c r="C54" s="117"/>
      <c r="D54" s="117"/>
    </row>
    <row r="55" spans="1:4" ht="14.25" customHeight="1">
      <c r="A55" s="9" t="s">
        <v>42</v>
      </c>
      <c r="B55" s="22" t="s">
        <v>81</v>
      </c>
      <c r="C55" s="117"/>
      <c r="D55" s="117"/>
    </row>
    <row r="56" spans="1:4" ht="14.25" customHeight="1">
      <c r="A56" s="9" t="s">
        <v>43</v>
      </c>
      <c r="B56" s="23" t="s">
        <v>81</v>
      </c>
      <c r="C56" s="117"/>
      <c r="D56" s="117"/>
    </row>
    <row r="57" spans="1:4" ht="13.5" customHeight="1">
      <c r="A57" s="9" t="s">
        <v>44</v>
      </c>
      <c r="B57" s="23" t="s">
        <v>81</v>
      </c>
      <c r="C57" s="117"/>
      <c r="D57" s="117"/>
    </row>
    <row r="58" spans="1:4" ht="13.5" customHeight="1">
      <c r="A58" s="9" t="s">
        <v>45</v>
      </c>
      <c r="B58" s="21" t="s">
        <v>325</v>
      </c>
      <c r="C58" s="117"/>
      <c r="D58" s="117"/>
    </row>
    <row r="59" spans="1:4" ht="36.75" customHeight="1">
      <c r="A59" s="10" t="s">
        <v>46</v>
      </c>
      <c r="B59" s="22" t="s">
        <v>23</v>
      </c>
      <c r="C59" s="117"/>
      <c r="D59" s="117"/>
    </row>
    <row r="60" spans="1:4">
      <c r="A60" s="128" t="s">
        <v>47</v>
      </c>
      <c r="B60" s="128"/>
      <c r="C60" s="128"/>
      <c r="D60" s="128"/>
    </row>
    <row r="61" spans="1:4" ht="15.75" customHeight="1">
      <c r="A61" s="9" t="s">
        <v>48</v>
      </c>
      <c r="B61" s="22" t="s">
        <v>84</v>
      </c>
      <c r="C61" s="129">
        <v>1.5</v>
      </c>
      <c r="D61" s="125">
        <f>C61*B8*8</f>
        <v>18403.199999999997</v>
      </c>
    </row>
    <row r="62" spans="1:4" ht="12.75" customHeight="1">
      <c r="A62" s="9" t="s">
        <v>49</v>
      </c>
      <c r="B62" s="22" t="s">
        <v>84</v>
      </c>
      <c r="C62" s="119"/>
      <c r="D62" s="126"/>
    </row>
    <row r="63" spans="1:4" ht="15.75" customHeight="1">
      <c r="A63" s="9" t="s">
        <v>50</v>
      </c>
      <c r="B63" s="22" t="s">
        <v>84</v>
      </c>
      <c r="C63" s="119"/>
      <c r="D63" s="126"/>
    </row>
    <row r="64" spans="1:4" ht="16.5" customHeight="1">
      <c r="A64" s="9" t="s">
        <v>51</v>
      </c>
      <c r="B64" s="22" t="s">
        <v>84</v>
      </c>
      <c r="C64" s="119"/>
      <c r="D64" s="126"/>
    </row>
    <row r="65" spans="1:4" ht="36.75" customHeight="1">
      <c r="A65" s="10" t="s">
        <v>52</v>
      </c>
      <c r="B65" s="22" t="s">
        <v>23</v>
      </c>
      <c r="C65" s="119"/>
      <c r="D65" s="126"/>
    </row>
    <row r="66" spans="1:4" ht="16.5" customHeight="1">
      <c r="A66" s="10" t="s">
        <v>53</v>
      </c>
      <c r="B66" s="23" t="s">
        <v>85</v>
      </c>
      <c r="C66" s="120"/>
      <c r="D66" s="127"/>
    </row>
    <row r="67" spans="1:4">
      <c r="A67" s="121" t="s">
        <v>86</v>
      </c>
      <c r="B67" s="122"/>
      <c r="C67" s="122"/>
      <c r="D67" s="123"/>
    </row>
    <row r="68" spans="1:4" ht="26.25" customHeight="1">
      <c r="A68" s="139" t="s">
        <v>97</v>
      </c>
      <c r="B68" s="141" t="s">
        <v>87</v>
      </c>
      <c r="C68" s="118">
        <v>2.41</v>
      </c>
      <c r="D68" s="117">
        <f>C68*B8*8</f>
        <v>29567.808000000001</v>
      </c>
    </row>
    <row r="69" spans="1:4" ht="3.75" customHeight="1">
      <c r="A69" s="140"/>
      <c r="B69" s="141"/>
      <c r="C69" s="118"/>
      <c r="D69" s="117"/>
    </row>
    <row r="70" spans="1:4" ht="15" customHeight="1">
      <c r="A70" s="121" t="s">
        <v>56</v>
      </c>
      <c r="B70" s="122"/>
      <c r="C70" s="122"/>
      <c r="D70" s="123"/>
    </row>
    <row r="71" spans="1:4" ht="16.5" customHeight="1">
      <c r="A71" s="6" t="s">
        <v>91</v>
      </c>
      <c r="B71" s="21" t="s">
        <v>88</v>
      </c>
      <c r="C71" s="131">
        <v>2.14</v>
      </c>
      <c r="D71" s="133">
        <v>26410.13</v>
      </c>
    </row>
    <row r="72" spans="1:4">
      <c r="A72" s="6" t="s">
        <v>92</v>
      </c>
      <c r="B72" s="21" t="s">
        <v>88</v>
      </c>
      <c r="C72" s="132"/>
      <c r="D72" s="134"/>
    </row>
    <row r="73" spans="1:4" ht="15" customHeight="1">
      <c r="A73" s="6" t="s">
        <v>93</v>
      </c>
      <c r="B73" s="21" t="s">
        <v>88</v>
      </c>
      <c r="C73" s="130"/>
      <c r="D73" s="135"/>
    </row>
    <row r="74" spans="1:4" ht="38.25" customHeight="1">
      <c r="A74" s="6" t="s">
        <v>165</v>
      </c>
      <c r="B74" s="22" t="s">
        <v>23</v>
      </c>
      <c r="C74" s="105">
        <v>4.3499999999999996</v>
      </c>
      <c r="D74" s="105">
        <v>53684.73</v>
      </c>
    </row>
    <row r="75" spans="1:4">
      <c r="A75" s="108" t="s">
        <v>57</v>
      </c>
      <c r="B75" s="23"/>
      <c r="C75" s="28">
        <f>C74+C71+C68+C61+C48+C44+C37+C30+C26+C19+C16+C14+C13</f>
        <v>21.619999999999997</v>
      </c>
      <c r="D75" s="57">
        <f>D74+D71+D68+D61+D48+D44+D37+D30+D26+D19+D16+D14+D13</f>
        <v>266817.51399999997</v>
      </c>
    </row>
    <row r="76" spans="1:4">
      <c r="C76" t="s">
        <v>284</v>
      </c>
    </row>
    <row r="77" spans="1:4">
      <c r="D77" s="42"/>
    </row>
    <row r="78" spans="1:4">
      <c r="D78" s="42"/>
    </row>
    <row r="79" spans="1:4">
      <c r="D79" s="42"/>
    </row>
    <row r="80" spans="1:4">
      <c r="D80" s="42"/>
    </row>
  </sheetData>
  <mergeCells count="31">
    <mergeCell ref="A70:D70"/>
    <mergeCell ref="C71:C73"/>
    <mergeCell ref="D71:D73"/>
    <mergeCell ref="A43:D43"/>
    <mergeCell ref="C44:C46"/>
    <mergeCell ref="D44:D46"/>
    <mergeCell ref="A47:D47"/>
    <mergeCell ref="C48:C59"/>
    <mergeCell ref="D48:D59"/>
    <mergeCell ref="A60:D60"/>
    <mergeCell ref="A68:A69"/>
    <mergeCell ref="B68:B69"/>
    <mergeCell ref="C68:C69"/>
    <mergeCell ref="D68:D69"/>
    <mergeCell ref="C61:C66"/>
    <mergeCell ref="D61:D66"/>
    <mergeCell ref="A67:D67"/>
    <mergeCell ref="A36:D36"/>
    <mergeCell ref="C37:C42"/>
    <mergeCell ref="D37:D42"/>
    <mergeCell ref="A12:D12"/>
    <mergeCell ref="C19:C24"/>
    <mergeCell ref="D19:D24"/>
    <mergeCell ref="A25:D25"/>
    <mergeCell ref="C26:C27"/>
    <mergeCell ref="D26:D27"/>
    <mergeCell ref="A17:D17"/>
    <mergeCell ref="A28:D28"/>
    <mergeCell ref="A29:D29"/>
    <mergeCell ref="C30:C35"/>
    <mergeCell ref="D30:D3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4"/>
  <sheetViews>
    <sheetView topLeftCell="A58" workbookViewId="0">
      <selection activeCell="A61" sqref="A61:XFD61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323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1963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32</v>
      </c>
      <c r="C7" s="2"/>
      <c r="D7" s="2"/>
    </row>
    <row r="8" spans="1:4">
      <c r="A8" s="25" t="s">
        <v>73</v>
      </c>
      <c r="B8" s="2">
        <v>1282.0999999999999</v>
      </c>
      <c r="C8" s="2"/>
      <c r="D8" s="2"/>
    </row>
    <row r="9" spans="1:4">
      <c r="A9" s="25" t="s">
        <v>63</v>
      </c>
      <c r="B9" s="2">
        <v>94.9</v>
      </c>
      <c r="C9" s="2"/>
      <c r="D9" s="2"/>
    </row>
    <row r="10" spans="1:4">
      <c r="A10" s="25" t="s">
        <v>74</v>
      </c>
      <c r="B10" s="48" t="s">
        <v>101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0.13</v>
      </c>
      <c r="D13" s="29">
        <f>C13*8*B8</f>
        <v>1333.384</v>
      </c>
    </row>
    <row r="14" spans="1:4" ht="75.75" customHeight="1">
      <c r="A14" s="6" t="s">
        <v>90</v>
      </c>
      <c r="B14" s="107" t="s">
        <v>9</v>
      </c>
      <c r="C14" s="26">
        <v>1.06</v>
      </c>
      <c r="D14" s="29">
        <f>C14*8*B8</f>
        <v>10872.208000000001</v>
      </c>
    </row>
    <row r="15" spans="1:4">
      <c r="A15" s="6" t="s">
        <v>10</v>
      </c>
      <c r="B15" s="107"/>
      <c r="C15" s="26"/>
      <c r="D15" s="30"/>
    </row>
    <row r="16" spans="1:4">
      <c r="A16" s="6" t="s">
        <v>322</v>
      </c>
      <c r="B16" s="107" t="s">
        <v>89</v>
      </c>
      <c r="C16" s="26">
        <v>0.71</v>
      </c>
      <c r="D16" s="30">
        <f>C16*8*B8</f>
        <v>7282.3279999999995</v>
      </c>
    </row>
    <row r="17" spans="1:4">
      <c r="A17" s="6" t="s">
        <v>321</v>
      </c>
      <c r="B17" s="107" t="s">
        <v>108</v>
      </c>
      <c r="C17" s="46">
        <f>4846.2/8/B8</f>
        <v>0.47248654551127056</v>
      </c>
      <c r="D17" s="30">
        <f>C17*8*B8</f>
        <v>4846.2</v>
      </c>
    </row>
    <row r="18" spans="1:4">
      <c r="A18" s="124" t="s">
        <v>11</v>
      </c>
      <c r="B18" s="124"/>
      <c r="C18" s="124"/>
      <c r="D18" s="124"/>
    </row>
    <row r="19" spans="1:4" ht="13.5" customHeight="1">
      <c r="A19" s="41" t="s">
        <v>98</v>
      </c>
      <c r="B19" s="108"/>
      <c r="C19" s="108"/>
      <c r="D19" s="108"/>
    </row>
    <row r="20" spans="1:4" ht="13.5" customHeight="1">
      <c r="A20" s="6" t="s">
        <v>12</v>
      </c>
      <c r="B20" s="107" t="s">
        <v>76</v>
      </c>
      <c r="C20" s="118">
        <v>2.16</v>
      </c>
      <c r="D20" s="125">
        <f>C20*B8*8</f>
        <v>22154.687999999998</v>
      </c>
    </row>
    <row r="21" spans="1:4" ht="12.75" customHeight="1">
      <c r="A21" s="6" t="s">
        <v>13</v>
      </c>
      <c r="B21" s="107" t="s">
        <v>76</v>
      </c>
      <c r="C21" s="118"/>
      <c r="D21" s="126"/>
    </row>
    <row r="22" spans="1:4" ht="14.25" customHeight="1">
      <c r="A22" s="6" t="s">
        <v>14</v>
      </c>
      <c r="B22" s="107" t="s">
        <v>76</v>
      </c>
      <c r="C22" s="118"/>
      <c r="D22" s="126"/>
    </row>
    <row r="23" spans="1:4" ht="13.5" customHeight="1">
      <c r="A23" s="6" t="s">
        <v>15</v>
      </c>
      <c r="B23" s="107" t="s">
        <v>77</v>
      </c>
      <c r="C23" s="118"/>
      <c r="D23" s="126"/>
    </row>
    <row r="24" spans="1:4" ht="12.75" customHeight="1">
      <c r="A24" s="41" t="s">
        <v>94</v>
      </c>
      <c r="B24" s="107"/>
      <c r="C24" s="118"/>
      <c r="D24" s="126"/>
    </row>
    <row r="25" spans="1:4" ht="30" customHeight="1">
      <c r="A25" s="6" t="s">
        <v>16</v>
      </c>
      <c r="B25" s="107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C27*B8*8</f>
        <v>2051.36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0.54</v>
      </c>
      <c r="D31" s="117">
        <f>C31*B8*8</f>
        <v>5538.6719999999996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89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1.25" customHeight="1">
      <c r="A37" s="130" t="s">
        <v>30</v>
      </c>
      <c r="B37" s="130"/>
      <c r="C37" s="130"/>
      <c r="D37" s="130"/>
    </row>
    <row r="38" spans="1:4" ht="35.25" customHeight="1">
      <c r="A38" s="9" t="s">
        <v>31</v>
      </c>
      <c r="B38" s="22" t="s">
        <v>23</v>
      </c>
      <c r="C38" s="117">
        <v>0.62</v>
      </c>
      <c r="D38" s="118">
        <f>C38*8*B8</f>
        <v>6359.2159999999994</v>
      </c>
    </row>
    <row r="39" spans="1:4" ht="38.25" customHeight="1">
      <c r="A39" s="9" t="s">
        <v>32</v>
      </c>
      <c r="B39" s="22" t="s">
        <v>23</v>
      </c>
      <c r="C39" s="117"/>
      <c r="D39" s="118"/>
    </row>
    <row r="40" spans="1:4" ht="15" customHeight="1">
      <c r="A40" s="10" t="s">
        <v>33</v>
      </c>
      <c r="B40" s="22" t="s">
        <v>23</v>
      </c>
      <c r="C40" s="117"/>
      <c r="D40" s="118"/>
    </row>
    <row r="41" spans="1:4" ht="12.75" customHeight="1">
      <c r="A41" s="128" t="s">
        <v>34</v>
      </c>
      <c r="B41" s="128"/>
      <c r="C41" s="128"/>
      <c r="D41" s="128"/>
    </row>
    <row r="42" spans="1:4" ht="29.25" customHeight="1">
      <c r="A42" s="9" t="s">
        <v>35</v>
      </c>
      <c r="B42" s="22" t="s">
        <v>78</v>
      </c>
      <c r="C42" s="117">
        <v>3.16</v>
      </c>
      <c r="D42" s="117">
        <f>C42*8*B8-25.5</f>
        <v>32385.987999999998</v>
      </c>
    </row>
    <row r="43" spans="1:4" ht="14.25" customHeight="1">
      <c r="A43" s="9" t="s">
        <v>36</v>
      </c>
      <c r="B43" s="22" t="s">
        <v>82</v>
      </c>
      <c r="C43" s="117"/>
      <c r="D43" s="117"/>
    </row>
    <row r="44" spans="1:4" ht="17.25" customHeight="1">
      <c r="A44" s="9" t="s">
        <v>37</v>
      </c>
      <c r="B44" s="22" t="s">
        <v>82</v>
      </c>
      <c r="C44" s="117"/>
      <c r="D44" s="117"/>
    </row>
    <row r="45" spans="1:4" ht="24.75" customHeight="1">
      <c r="A45" s="9" t="s">
        <v>38</v>
      </c>
      <c r="B45" s="22" t="s">
        <v>83</v>
      </c>
      <c r="C45" s="117"/>
      <c r="D45" s="117"/>
    </row>
    <row r="46" spans="1:4" ht="30" customHeight="1">
      <c r="A46" s="9" t="s">
        <v>39</v>
      </c>
      <c r="B46" s="22" t="s">
        <v>83</v>
      </c>
      <c r="C46" s="117"/>
      <c r="D46" s="117"/>
    </row>
    <row r="47" spans="1:4" ht="12.75" customHeight="1">
      <c r="A47" s="108" t="s">
        <v>96</v>
      </c>
      <c r="B47" s="6"/>
      <c r="C47" s="117"/>
      <c r="D47" s="117"/>
    </row>
    <row r="48" spans="1:4" ht="35.25" customHeight="1">
      <c r="A48" s="9" t="s">
        <v>41</v>
      </c>
      <c r="B48" s="22" t="s">
        <v>80</v>
      </c>
      <c r="C48" s="117"/>
      <c r="D48" s="117"/>
    </row>
    <row r="49" spans="1:4" ht="14.25" customHeight="1">
      <c r="A49" s="9" t="s">
        <v>42</v>
      </c>
      <c r="B49" s="22" t="s">
        <v>25</v>
      </c>
      <c r="C49" s="117"/>
      <c r="D49" s="117"/>
    </row>
    <row r="50" spans="1:4" ht="14.25" customHeight="1">
      <c r="A50" s="9" t="s">
        <v>43</v>
      </c>
      <c r="B50" s="23" t="s">
        <v>25</v>
      </c>
      <c r="C50" s="117"/>
      <c r="D50" s="117"/>
    </row>
    <row r="51" spans="1:4" ht="13.5" customHeight="1">
      <c r="A51" s="9" t="s">
        <v>44</v>
      </c>
      <c r="B51" s="23" t="s">
        <v>25</v>
      </c>
      <c r="C51" s="117"/>
      <c r="D51" s="117"/>
    </row>
    <row r="52" spans="1:4" ht="13.5" customHeight="1">
      <c r="A52" s="9" t="s">
        <v>45</v>
      </c>
      <c r="B52" s="21" t="s">
        <v>318</v>
      </c>
      <c r="C52" s="117"/>
      <c r="D52" s="117"/>
    </row>
    <row r="53" spans="1:4" ht="36.75" customHeight="1">
      <c r="A53" s="10" t="s">
        <v>46</v>
      </c>
      <c r="B53" s="22" t="s">
        <v>23</v>
      </c>
      <c r="C53" s="117"/>
      <c r="D53" s="117"/>
    </row>
    <row r="54" spans="1:4">
      <c r="A54" s="128" t="s">
        <v>47</v>
      </c>
      <c r="B54" s="128"/>
      <c r="C54" s="128"/>
      <c r="D54" s="128"/>
    </row>
    <row r="55" spans="1:4" ht="15.75" customHeight="1">
      <c r="A55" s="9" t="s">
        <v>48</v>
      </c>
      <c r="B55" s="22" t="s">
        <v>84</v>
      </c>
      <c r="C55" s="118">
        <v>1.54</v>
      </c>
      <c r="D55" s="117">
        <f>C55*B8*8</f>
        <v>15795.472</v>
      </c>
    </row>
    <row r="56" spans="1:4" ht="12.75" customHeight="1">
      <c r="A56" s="9" t="s">
        <v>49</v>
      </c>
      <c r="B56" s="22" t="s">
        <v>84</v>
      </c>
      <c r="C56" s="118"/>
      <c r="D56" s="117"/>
    </row>
    <row r="57" spans="1:4" ht="15.75" customHeight="1">
      <c r="A57" s="9" t="s">
        <v>50</v>
      </c>
      <c r="B57" s="22" t="s">
        <v>84</v>
      </c>
      <c r="C57" s="118"/>
      <c r="D57" s="117"/>
    </row>
    <row r="58" spans="1:4" ht="16.5" customHeight="1">
      <c r="A58" s="9" t="s">
        <v>51</v>
      </c>
      <c r="B58" s="22" t="s">
        <v>84</v>
      </c>
      <c r="C58" s="118"/>
      <c r="D58" s="117"/>
    </row>
    <row r="59" spans="1:4" ht="39.75" customHeight="1">
      <c r="A59" s="10" t="s">
        <v>52</v>
      </c>
      <c r="B59" s="22" t="s">
        <v>23</v>
      </c>
      <c r="C59" s="118"/>
      <c r="D59" s="117"/>
    </row>
    <row r="60" spans="1:4" ht="16.5" customHeight="1">
      <c r="A60" s="10" t="s">
        <v>53</v>
      </c>
      <c r="B60" s="23" t="s">
        <v>85</v>
      </c>
      <c r="C60" s="118"/>
      <c r="D60" s="117"/>
    </row>
    <row r="61" spans="1:4">
      <c r="A61" s="121" t="s">
        <v>86</v>
      </c>
      <c r="B61" s="122"/>
      <c r="C61" s="122"/>
      <c r="D61" s="123"/>
    </row>
    <row r="62" spans="1:4" ht="26.25" customHeight="1">
      <c r="A62" s="139" t="s">
        <v>97</v>
      </c>
      <c r="B62" s="141" t="s">
        <v>87</v>
      </c>
      <c r="C62" s="118">
        <v>2.41</v>
      </c>
      <c r="D62" s="117">
        <f>C62*B8*8</f>
        <v>24718.887999999999</v>
      </c>
    </row>
    <row r="63" spans="1:4" ht="13.5" customHeight="1">
      <c r="A63" s="140"/>
      <c r="B63" s="141"/>
      <c r="C63" s="118"/>
      <c r="D63" s="117"/>
    </row>
    <row r="64" spans="1:4" ht="15" customHeight="1">
      <c r="A64" s="121" t="s">
        <v>56</v>
      </c>
      <c r="B64" s="122"/>
      <c r="C64" s="122"/>
      <c r="D64" s="123"/>
    </row>
    <row r="65" spans="1:4" ht="16.5" customHeight="1">
      <c r="A65" s="6" t="s">
        <v>91</v>
      </c>
      <c r="B65" s="21" t="s">
        <v>88</v>
      </c>
      <c r="C65" s="131">
        <v>2.14</v>
      </c>
      <c r="D65" s="133">
        <v>21949.599999999999</v>
      </c>
    </row>
    <row r="66" spans="1:4">
      <c r="A66" s="6" t="s">
        <v>92</v>
      </c>
      <c r="B66" s="21" t="s">
        <v>88</v>
      </c>
      <c r="C66" s="132"/>
      <c r="D66" s="134"/>
    </row>
    <row r="67" spans="1:4" ht="15" customHeight="1">
      <c r="A67" s="6" t="s">
        <v>93</v>
      </c>
      <c r="B67" s="21" t="s">
        <v>88</v>
      </c>
      <c r="C67" s="130"/>
      <c r="D67" s="135"/>
    </row>
    <row r="68" spans="1:4" ht="38.25" customHeight="1">
      <c r="A68" s="6" t="s">
        <v>165</v>
      </c>
      <c r="B68" s="22" t="s">
        <v>23</v>
      </c>
      <c r="C68" s="105">
        <v>4.22</v>
      </c>
      <c r="D68" s="105">
        <v>43283.519999999997</v>
      </c>
    </row>
    <row r="69" spans="1:4">
      <c r="A69" s="108" t="s">
        <v>57</v>
      </c>
      <c r="B69" s="23"/>
      <c r="C69" s="28">
        <f>C68+C65+C62+C55+C42+C38+C31+C27+C20+C17+C16+C14+C13</f>
        <v>19.362486545511267</v>
      </c>
      <c r="D69" s="57">
        <f>D68+D65+D62+D55+D42+D38+D31+D27+D20+D17+D16+D14+D13</f>
        <v>198571.52399999998</v>
      </c>
    </row>
    <row r="71" spans="1:4">
      <c r="D71" s="42"/>
    </row>
    <row r="72" spans="1:4">
      <c r="D72" s="42"/>
    </row>
    <row r="73" spans="1:4">
      <c r="D73" s="42"/>
    </row>
    <row r="74" spans="1:4">
      <c r="D74" s="42"/>
    </row>
  </sheetData>
  <mergeCells count="28">
    <mergeCell ref="C65:C67"/>
    <mergeCell ref="D65:D67"/>
    <mergeCell ref="A61:D61"/>
    <mergeCell ref="A62:A63"/>
    <mergeCell ref="B62:B63"/>
    <mergeCell ref="C62:C63"/>
    <mergeCell ref="D62:D63"/>
    <mergeCell ref="A64:D64"/>
    <mergeCell ref="A41:D41"/>
    <mergeCell ref="C42:C53"/>
    <mergeCell ref="D42:D53"/>
    <mergeCell ref="A54:D54"/>
    <mergeCell ref="C55:C60"/>
    <mergeCell ref="D55:D60"/>
    <mergeCell ref="C38:C40"/>
    <mergeCell ref="D38:D40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4"/>
  <sheetViews>
    <sheetView topLeftCell="A52" workbookViewId="0">
      <selection activeCell="A61" sqref="A61:XFD61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317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1971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1</v>
      </c>
      <c r="C6" s="2"/>
      <c r="D6" s="2"/>
    </row>
    <row r="7" spans="1:4">
      <c r="A7" s="25" t="s">
        <v>62</v>
      </c>
      <c r="B7" s="2">
        <v>30</v>
      </c>
      <c r="C7" s="2"/>
      <c r="D7" s="2"/>
    </row>
    <row r="8" spans="1:4">
      <c r="A8" s="25" t="s">
        <v>73</v>
      </c>
      <c r="B8" s="2">
        <v>556.79999999999995</v>
      </c>
      <c r="C8" s="2"/>
      <c r="D8" s="2"/>
    </row>
    <row r="9" spans="1:4">
      <c r="A9" s="25" t="s">
        <v>63</v>
      </c>
      <c r="B9" s="2">
        <v>200.9</v>
      </c>
      <c r="C9" s="2"/>
      <c r="D9" s="2"/>
    </row>
    <row r="10" spans="1:4">
      <c r="A10" s="25" t="s">
        <v>74</v>
      </c>
      <c r="B10" s="43" t="s">
        <v>101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0.13</v>
      </c>
      <c r="D13" s="29">
        <f>C13*8*B8</f>
        <v>579.072</v>
      </c>
    </row>
    <row r="14" spans="1:4" ht="75.75" customHeight="1">
      <c r="A14" s="6" t="s">
        <v>90</v>
      </c>
      <c r="B14" s="107" t="s">
        <v>9</v>
      </c>
      <c r="C14" s="26">
        <v>1.06</v>
      </c>
      <c r="D14" s="29">
        <f>C14*8*B8</f>
        <v>4721.6639999999998</v>
      </c>
    </row>
    <row r="15" spans="1:4">
      <c r="A15" s="6" t="s">
        <v>10</v>
      </c>
      <c r="B15" s="107"/>
      <c r="C15" s="26"/>
      <c r="D15" s="30"/>
    </row>
    <row r="16" spans="1:4">
      <c r="A16" s="6" t="s">
        <v>320</v>
      </c>
      <c r="B16" s="107" t="s">
        <v>108</v>
      </c>
      <c r="C16" s="26">
        <v>0.86</v>
      </c>
      <c r="D16" s="30">
        <f>C16*8*B8</f>
        <v>3830.7839999999997</v>
      </c>
    </row>
    <row r="17" spans="1:4">
      <c r="A17" s="6" t="s">
        <v>319</v>
      </c>
      <c r="B17" s="107" t="s">
        <v>108</v>
      </c>
      <c r="C17" s="46">
        <v>2.14</v>
      </c>
      <c r="D17" s="30">
        <f>C17*8*B8</f>
        <v>9532.4159999999993</v>
      </c>
    </row>
    <row r="18" spans="1:4">
      <c r="A18" s="124" t="s">
        <v>11</v>
      </c>
      <c r="B18" s="124"/>
      <c r="C18" s="124"/>
      <c r="D18" s="124"/>
    </row>
    <row r="19" spans="1:4" ht="13.5" customHeight="1">
      <c r="A19" s="41" t="s">
        <v>98</v>
      </c>
      <c r="B19" s="108"/>
      <c r="C19" s="108"/>
      <c r="D19" s="108"/>
    </row>
    <row r="20" spans="1:4" ht="13.5" customHeight="1">
      <c r="A20" s="6" t="s">
        <v>12</v>
      </c>
      <c r="B20" s="107" t="s">
        <v>76</v>
      </c>
      <c r="C20" s="118">
        <v>2.16</v>
      </c>
      <c r="D20" s="125">
        <f>C20*B8*8</f>
        <v>9621.503999999999</v>
      </c>
    </row>
    <row r="21" spans="1:4" ht="12.75" customHeight="1">
      <c r="A21" s="6" t="s">
        <v>13</v>
      </c>
      <c r="B21" s="107" t="s">
        <v>76</v>
      </c>
      <c r="C21" s="118"/>
      <c r="D21" s="126"/>
    </row>
    <row r="22" spans="1:4" ht="14.25" customHeight="1">
      <c r="A22" s="6" t="s">
        <v>14</v>
      </c>
      <c r="B22" s="107" t="s">
        <v>76</v>
      </c>
      <c r="C22" s="118"/>
      <c r="D22" s="126"/>
    </row>
    <row r="23" spans="1:4" ht="13.5" customHeight="1">
      <c r="A23" s="6" t="s">
        <v>15</v>
      </c>
      <c r="B23" s="107" t="s">
        <v>77</v>
      </c>
      <c r="C23" s="118"/>
      <c r="D23" s="126"/>
    </row>
    <row r="24" spans="1:4" ht="12.75" customHeight="1">
      <c r="A24" s="41" t="s">
        <v>94</v>
      </c>
      <c r="B24" s="107"/>
      <c r="C24" s="118"/>
      <c r="D24" s="126"/>
    </row>
    <row r="25" spans="1:4" ht="30" customHeight="1">
      <c r="A25" s="6" t="s">
        <v>16</v>
      </c>
      <c r="B25" s="107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C27*B8*8</f>
        <v>890.88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0.54</v>
      </c>
      <c r="D31" s="117">
        <f>C31*B8*8</f>
        <v>2405.3759999999997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89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1.25" customHeight="1">
      <c r="A37" s="130" t="s">
        <v>30</v>
      </c>
      <c r="B37" s="130"/>
      <c r="C37" s="130"/>
      <c r="D37" s="130"/>
    </row>
    <row r="38" spans="1:4" ht="35.25" customHeight="1">
      <c r="A38" s="9" t="s">
        <v>31</v>
      </c>
      <c r="B38" s="22" t="s">
        <v>23</v>
      </c>
      <c r="C38" s="117">
        <v>0.62</v>
      </c>
      <c r="D38" s="118">
        <f>C38*8*B8</f>
        <v>2761.7279999999996</v>
      </c>
    </row>
    <row r="39" spans="1:4" ht="38.25" customHeight="1">
      <c r="A39" s="9" t="s">
        <v>32</v>
      </c>
      <c r="B39" s="22" t="s">
        <v>23</v>
      </c>
      <c r="C39" s="117"/>
      <c r="D39" s="118"/>
    </row>
    <row r="40" spans="1:4" ht="15" customHeight="1">
      <c r="A40" s="10" t="s">
        <v>33</v>
      </c>
      <c r="B40" s="22" t="s">
        <v>23</v>
      </c>
      <c r="C40" s="117"/>
      <c r="D40" s="118"/>
    </row>
    <row r="41" spans="1:4" ht="12.75" customHeight="1">
      <c r="A41" s="128" t="s">
        <v>34</v>
      </c>
      <c r="B41" s="128"/>
      <c r="C41" s="128"/>
      <c r="D41" s="128"/>
    </row>
    <row r="42" spans="1:4" ht="29.25" customHeight="1">
      <c r="A42" s="9" t="s">
        <v>35</v>
      </c>
      <c r="B42" s="22" t="s">
        <v>78</v>
      </c>
      <c r="C42" s="117">
        <v>1.34</v>
      </c>
      <c r="D42" s="117">
        <f>C42*8*B8+275.6</f>
        <v>6244.4960000000001</v>
      </c>
    </row>
    <row r="43" spans="1:4" ht="14.25" customHeight="1">
      <c r="A43" s="9" t="s">
        <v>36</v>
      </c>
      <c r="B43" s="22" t="s">
        <v>82</v>
      </c>
      <c r="C43" s="117"/>
      <c r="D43" s="117"/>
    </row>
    <row r="44" spans="1:4" ht="17.25" customHeight="1">
      <c r="A44" s="9" t="s">
        <v>37</v>
      </c>
      <c r="B44" s="22" t="s">
        <v>82</v>
      </c>
      <c r="C44" s="117"/>
      <c r="D44" s="117"/>
    </row>
    <row r="45" spans="1:4" ht="24.75" customHeight="1">
      <c r="A45" s="9" t="s">
        <v>38</v>
      </c>
      <c r="B45" s="22" t="s">
        <v>83</v>
      </c>
      <c r="C45" s="117"/>
      <c r="D45" s="117"/>
    </row>
    <row r="46" spans="1:4" ht="30" customHeight="1">
      <c r="A46" s="9" t="s">
        <v>39</v>
      </c>
      <c r="B46" s="22" t="s">
        <v>83</v>
      </c>
      <c r="C46" s="117"/>
      <c r="D46" s="117"/>
    </row>
    <row r="47" spans="1:4" ht="12.75" customHeight="1">
      <c r="A47" s="108" t="s">
        <v>96</v>
      </c>
      <c r="B47" s="6"/>
      <c r="C47" s="117"/>
      <c r="D47" s="117"/>
    </row>
    <row r="48" spans="1:4" ht="35.25" customHeight="1">
      <c r="A48" s="9" t="s">
        <v>41</v>
      </c>
      <c r="B48" s="22" t="s">
        <v>80</v>
      </c>
      <c r="C48" s="117"/>
      <c r="D48" s="117"/>
    </row>
    <row r="49" spans="1:4" ht="14.25" customHeight="1">
      <c r="A49" s="9" t="s">
        <v>42</v>
      </c>
      <c r="B49" s="22" t="s">
        <v>25</v>
      </c>
      <c r="C49" s="117"/>
      <c r="D49" s="117"/>
    </row>
    <row r="50" spans="1:4" ht="14.25" customHeight="1">
      <c r="A50" s="9" t="s">
        <v>43</v>
      </c>
      <c r="B50" s="23" t="s">
        <v>25</v>
      </c>
      <c r="C50" s="117"/>
      <c r="D50" s="117"/>
    </row>
    <row r="51" spans="1:4" ht="13.5" customHeight="1">
      <c r="A51" s="9" t="s">
        <v>44</v>
      </c>
      <c r="B51" s="23" t="s">
        <v>25</v>
      </c>
      <c r="C51" s="117"/>
      <c r="D51" s="117"/>
    </row>
    <row r="52" spans="1:4" ht="13.5" customHeight="1">
      <c r="A52" s="9" t="s">
        <v>45</v>
      </c>
      <c r="B52" s="21" t="s">
        <v>318</v>
      </c>
      <c r="C52" s="117"/>
      <c r="D52" s="117"/>
    </row>
    <row r="53" spans="1:4" ht="36.75" customHeight="1">
      <c r="A53" s="10" t="s">
        <v>46</v>
      </c>
      <c r="B53" s="22" t="s">
        <v>23</v>
      </c>
      <c r="C53" s="117"/>
      <c r="D53" s="117"/>
    </row>
    <row r="54" spans="1:4">
      <c r="A54" s="128" t="s">
        <v>47</v>
      </c>
      <c r="B54" s="128"/>
      <c r="C54" s="128"/>
      <c r="D54" s="128"/>
    </row>
    <row r="55" spans="1:4" ht="15.75" customHeight="1">
      <c r="A55" s="9" t="s">
        <v>48</v>
      </c>
      <c r="B55" s="22" t="s">
        <v>84</v>
      </c>
      <c r="C55" s="118">
        <v>1.54</v>
      </c>
      <c r="D55" s="117">
        <f>C55*B8*8</f>
        <v>6859.7759999999998</v>
      </c>
    </row>
    <row r="56" spans="1:4" ht="12.75" customHeight="1">
      <c r="A56" s="9" t="s">
        <v>49</v>
      </c>
      <c r="B56" s="22" t="s">
        <v>84</v>
      </c>
      <c r="C56" s="118"/>
      <c r="D56" s="117"/>
    </row>
    <row r="57" spans="1:4" ht="15.75" customHeight="1">
      <c r="A57" s="9" t="s">
        <v>50</v>
      </c>
      <c r="B57" s="22" t="s">
        <v>84</v>
      </c>
      <c r="C57" s="118"/>
      <c r="D57" s="117"/>
    </row>
    <row r="58" spans="1:4" ht="16.5" customHeight="1">
      <c r="A58" s="9" t="s">
        <v>51</v>
      </c>
      <c r="B58" s="22" t="s">
        <v>84</v>
      </c>
      <c r="C58" s="118"/>
      <c r="D58" s="117"/>
    </row>
    <row r="59" spans="1:4" ht="39.75" customHeight="1">
      <c r="A59" s="10" t="s">
        <v>52</v>
      </c>
      <c r="B59" s="22" t="s">
        <v>23</v>
      </c>
      <c r="C59" s="118"/>
      <c r="D59" s="117"/>
    </row>
    <row r="60" spans="1:4" ht="16.5" customHeight="1">
      <c r="A60" s="10" t="s">
        <v>53</v>
      </c>
      <c r="B60" s="23" t="s">
        <v>85</v>
      </c>
      <c r="C60" s="118"/>
      <c r="D60" s="117"/>
    </row>
    <row r="61" spans="1:4">
      <c r="A61" s="121" t="s">
        <v>86</v>
      </c>
      <c r="B61" s="122"/>
      <c r="C61" s="122"/>
      <c r="D61" s="123"/>
    </row>
    <row r="62" spans="1:4" ht="26.25" customHeight="1">
      <c r="A62" s="139" t="s">
        <v>97</v>
      </c>
      <c r="B62" s="141" t="s">
        <v>87</v>
      </c>
      <c r="C62" s="118">
        <v>2.41</v>
      </c>
      <c r="D62" s="117">
        <f>C62*B8*8</f>
        <v>10735.103999999999</v>
      </c>
    </row>
    <row r="63" spans="1:4" ht="13.5" customHeight="1">
      <c r="A63" s="140"/>
      <c r="B63" s="141"/>
      <c r="C63" s="118"/>
      <c r="D63" s="117"/>
    </row>
    <row r="64" spans="1:4" ht="15" customHeight="1">
      <c r="A64" s="121" t="s">
        <v>56</v>
      </c>
      <c r="B64" s="122"/>
      <c r="C64" s="122"/>
      <c r="D64" s="123"/>
    </row>
    <row r="65" spans="1:4" ht="16.5" customHeight="1">
      <c r="A65" s="6" t="s">
        <v>91</v>
      </c>
      <c r="B65" s="21" t="s">
        <v>88</v>
      </c>
      <c r="C65" s="131">
        <v>2.14</v>
      </c>
      <c r="D65" s="133">
        <v>9532.4</v>
      </c>
    </row>
    <row r="66" spans="1:4">
      <c r="A66" s="6" t="s">
        <v>92</v>
      </c>
      <c r="B66" s="21" t="s">
        <v>88</v>
      </c>
      <c r="C66" s="132"/>
      <c r="D66" s="134"/>
    </row>
    <row r="67" spans="1:4" ht="15" customHeight="1">
      <c r="A67" s="6" t="s">
        <v>93</v>
      </c>
      <c r="B67" s="21" t="s">
        <v>88</v>
      </c>
      <c r="C67" s="130"/>
      <c r="D67" s="135"/>
    </row>
    <row r="68" spans="1:4" ht="38.25" customHeight="1">
      <c r="A68" s="6" t="s">
        <v>165</v>
      </c>
      <c r="B68" s="22" t="s">
        <v>23</v>
      </c>
      <c r="C68" s="105">
        <v>4.22</v>
      </c>
      <c r="D68" s="105">
        <v>18797.439999999999</v>
      </c>
    </row>
    <row r="69" spans="1:4">
      <c r="A69" s="108" t="s">
        <v>57</v>
      </c>
      <c r="B69" s="23"/>
      <c r="C69" s="28">
        <f>C68+C65+C62+C55+C42+C38+C31+C27+C20+C17+C16+C14+C13</f>
        <v>19.359999999999996</v>
      </c>
      <c r="D69" s="57">
        <f>D68+D65+D62+D55+D42+D38+D31+D27+D20+D17+D16+D14+D13</f>
        <v>86512.639999999985</v>
      </c>
    </row>
    <row r="71" spans="1:4">
      <c r="D71" s="42">
        <v>58182.8</v>
      </c>
    </row>
    <row r="72" spans="1:4">
      <c r="D72" s="42">
        <f>D71+D68+D65</f>
        <v>86512.639999999999</v>
      </c>
    </row>
    <row r="73" spans="1:4">
      <c r="D73" s="42">
        <f>D72-D69</f>
        <v>0</v>
      </c>
    </row>
    <row r="74" spans="1:4">
      <c r="D74" s="42"/>
    </row>
  </sheetData>
  <mergeCells count="28">
    <mergeCell ref="C65:C67"/>
    <mergeCell ref="D65:D67"/>
    <mergeCell ref="A61:D61"/>
    <mergeCell ref="A62:A63"/>
    <mergeCell ref="B62:B63"/>
    <mergeCell ref="C62:C63"/>
    <mergeCell ref="D62:D63"/>
    <mergeCell ref="A64:D64"/>
    <mergeCell ref="A41:D41"/>
    <mergeCell ref="C42:C53"/>
    <mergeCell ref="D42:D53"/>
    <mergeCell ref="A54:D54"/>
    <mergeCell ref="C55:C60"/>
    <mergeCell ref="D55:D60"/>
    <mergeCell ref="C38:C40"/>
    <mergeCell ref="D38:D40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82"/>
  <sheetViews>
    <sheetView topLeftCell="A61" workbookViewId="0">
      <selection activeCell="D84" sqref="D84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313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1994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27</v>
      </c>
      <c r="C7" s="2"/>
      <c r="D7" s="2"/>
    </row>
    <row r="8" spans="1:4">
      <c r="A8" s="25" t="s">
        <v>73</v>
      </c>
      <c r="B8" s="2">
        <v>1713.3</v>
      </c>
      <c r="C8" s="2"/>
      <c r="D8" s="2"/>
    </row>
    <row r="9" spans="1:4">
      <c r="A9" s="25" t="s">
        <v>63</v>
      </c>
      <c r="B9" s="2">
        <v>178.8</v>
      </c>
      <c r="C9" s="2"/>
      <c r="D9" s="2"/>
    </row>
    <row r="10" spans="1:4">
      <c r="A10" s="25" t="s">
        <v>74</v>
      </c>
      <c r="B10" s="48">
        <v>448.6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0.14000000000000001</v>
      </c>
      <c r="D13" s="29">
        <f>C13*8*B8</f>
        <v>1918.8960000000002</v>
      </c>
    </row>
    <row r="14" spans="1:4" ht="75.75" customHeight="1">
      <c r="A14" s="6" t="s">
        <v>90</v>
      </c>
      <c r="B14" s="107" t="s">
        <v>9</v>
      </c>
      <c r="C14" s="26">
        <v>1.1200000000000001</v>
      </c>
      <c r="D14" s="29">
        <f>C14*8*B8</f>
        <v>15351.168000000001</v>
      </c>
    </row>
    <row r="15" spans="1:4">
      <c r="A15" s="6" t="s">
        <v>10</v>
      </c>
      <c r="B15" s="107"/>
      <c r="C15" s="26"/>
      <c r="D15" s="30"/>
    </row>
    <row r="16" spans="1:4">
      <c r="A16" s="6" t="s">
        <v>312</v>
      </c>
      <c r="B16" s="107" t="s">
        <v>140</v>
      </c>
      <c r="C16" s="26">
        <v>0.28000000000000003</v>
      </c>
      <c r="D16" s="30">
        <f>C16*8*B8</f>
        <v>3837.7920000000004</v>
      </c>
    </row>
    <row r="17" spans="1:4">
      <c r="A17" s="6" t="s">
        <v>310</v>
      </c>
      <c r="B17" s="107" t="s">
        <v>81</v>
      </c>
      <c r="C17" s="26">
        <v>2.46</v>
      </c>
      <c r="D17" s="30">
        <f>C17*8*B8</f>
        <v>33717.743999999999</v>
      </c>
    </row>
    <row r="18" spans="1:4">
      <c r="A18" s="6" t="s">
        <v>314</v>
      </c>
      <c r="B18" s="107" t="s">
        <v>81</v>
      </c>
      <c r="C18" s="46">
        <f>3622/8/B8</f>
        <v>0.26425611393217768</v>
      </c>
      <c r="D18" s="30">
        <f>C18*8*B8</f>
        <v>3622</v>
      </c>
    </row>
    <row r="19" spans="1:4" ht="13.5" customHeight="1">
      <c r="A19" s="41" t="s">
        <v>98</v>
      </c>
      <c r="B19" s="108"/>
      <c r="C19" s="108"/>
      <c r="D19" s="108"/>
    </row>
    <row r="20" spans="1:4" ht="13.5" customHeight="1">
      <c r="A20" s="6" t="s">
        <v>12</v>
      </c>
      <c r="B20" s="107" t="s">
        <v>76</v>
      </c>
      <c r="C20" s="118">
        <v>2.16</v>
      </c>
      <c r="D20" s="125">
        <f>C20*B8*8</f>
        <v>29605.824000000001</v>
      </c>
    </row>
    <row r="21" spans="1:4" ht="12.75" customHeight="1">
      <c r="A21" s="6" t="s">
        <v>13</v>
      </c>
      <c r="B21" s="107" t="s">
        <v>76</v>
      </c>
      <c r="C21" s="118"/>
      <c r="D21" s="126"/>
    </row>
    <row r="22" spans="1:4" ht="14.25" customHeight="1">
      <c r="A22" s="6" t="s">
        <v>14</v>
      </c>
      <c r="B22" s="107" t="s">
        <v>76</v>
      </c>
      <c r="C22" s="118"/>
      <c r="D22" s="126"/>
    </row>
    <row r="23" spans="1:4" ht="13.5" customHeight="1">
      <c r="A23" s="6" t="s">
        <v>15</v>
      </c>
      <c r="B23" s="107" t="s">
        <v>77</v>
      </c>
      <c r="C23" s="118"/>
      <c r="D23" s="126"/>
    </row>
    <row r="24" spans="1:4" ht="12.75" customHeight="1">
      <c r="A24" s="41" t="s">
        <v>94</v>
      </c>
      <c r="B24" s="107"/>
      <c r="C24" s="118"/>
      <c r="D24" s="126"/>
    </row>
    <row r="25" spans="1:4" ht="30" customHeight="1">
      <c r="A25" s="6" t="s">
        <v>16</v>
      </c>
      <c r="B25" s="107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C27*B8*8</f>
        <v>2741.28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0.61</v>
      </c>
      <c r="D31" s="117">
        <f>C31*B8*8</f>
        <v>8360.9040000000005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1</v>
      </c>
      <c r="D38" s="118">
        <f>C38*B8*8</f>
        <v>13706.4</v>
      </c>
    </row>
    <row r="39" spans="1:4" ht="14.25" customHeight="1">
      <c r="A39" s="9" t="s">
        <v>68</v>
      </c>
      <c r="B39" s="22" t="s">
        <v>81</v>
      </c>
      <c r="C39" s="117"/>
      <c r="D39" s="119"/>
    </row>
    <row r="40" spans="1:4" ht="14.25" customHeight="1">
      <c r="A40" s="9" t="s">
        <v>69</v>
      </c>
      <c r="B40" s="22" t="s">
        <v>81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25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0.7</v>
      </c>
      <c r="D45" s="118">
        <f>C45*8*B8</f>
        <v>9594.48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2.62</v>
      </c>
      <c r="D49" s="117">
        <f>C49*8*B8</f>
        <v>35910.768000000004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108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81</v>
      </c>
      <c r="C56" s="117"/>
      <c r="D56" s="117"/>
    </row>
    <row r="57" spans="1:4" ht="14.25" customHeight="1">
      <c r="A57" s="9" t="s">
        <v>43</v>
      </c>
      <c r="B57" s="23" t="s">
        <v>81</v>
      </c>
      <c r="C57" s="117"/>
      <c r="D57" s="117"/>
    </row>
    <row r="58" spans="1:4" ht="13.5" customHeight="1">
      <c r="A58" s="9" t="s">
        <v>44</v>
      </c>
      <c r="B58" s="23" t="s">
        <v>81</v>
      </c>
      <c r="C58" s="117"/>
      <c r="D58" s="117"/>
    </row>
    <row r="59" spans="1:4" ht="13.5" customHeight="1">
      <c r="A59" s="9" t="s">
        <v>45</v>
      </c>
      <c r="B59" s="21" t="s">
        <v>315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>
      <c r="A61" s="128" t="s">
        <v>47</v>
      </c>
      <c r="B61" s="128"/>
      <c r="C61" s="128"/>
      <c r="D61" s="128"/>
    </row>
    <row r="62" spans="1:4" ht="15.75" customHeight="1">
      <c r="A62" s="9" t="s">
        <v>48</v>
      </c>
      <c r="B62" s="22" t="s">
        <v>84</v>
      </c>
      <c r="C62" s="129">
        <v>1.17</v>
      </c>
      <c r="D62" s="125">
        <f>C62*B8*8</f>
        <v>16036.487999999999</v>
      </c>
    </row>
    <row r="63" spans="1:4" ht="12.75" customHeight="1">
      <c r="A63" s="9" t="s">
        <v>49</v>
      </c>
      <c r="B63" s="22" t="s">
        <v>84</v>
      </c>
      <c r="C63" s="119"/>
      <c r="D63" s="126"/>
    </row>
    <row r="64" spans="1:4" ht="15.75" customHeight="1">
      <c r="A64" s="9" t="s">
        <v>50</v>
      </c>
      <c r="B64" s="22" t="s">
        <v>84</v>
      </c>
      <c r="C64" s="119"/>
      <c r="D64" s="126"/>
    </row>
    <row r="65" spans="1:4" ht="16.5" customHeight="1">
      <c r="A65" s="9" t="s">
        <v>51</v>
      </c>
      <c r="B65" s="22" t="s">
        <v>84</v>
      </c>
      <c r="C65" s="119"/>
      <c r="D65" s="126"/>
    </row>
    <row r="66" spans="1:4" ht="36.75" customHeight="1">
      <c r="A66" s="10" t="s">
        <v>52</v>
      </c>
      <c r="B66" s="22" t="s">
        <v>23</v>
      </c>
      <c r="C66" s="119"/>
      <c r="D66" s="126"/>
    </row>
    <row r="67" spans="1:4" ht="16.5" customHeight="1">
      <c r="A67" s="10" t="s">
        <v>53</v>
      </c>
      <c r="B67" s="23" t="s">
        <v>85</v>
      </c>
      <c r="C67" s="120"/>
      <c r="D67" s="127"/>
    </row>
    <row r="68" spans="1:4">
      <c r="A68" s="121" t="s">
        <v>86</v>
      </c>
      <c r="B68" s="122"/>
      <c r="C68" s="122"/>
      <c r="D68" s="123"/>
    </row>
    <row r="69" spans="1:4" ht="26.25" customHeight="1">
      <c r="A69" s="139" t="s">
        <v>97</v>
      </c>
      <c r="B69" s="141" t="s">
        <v>87</v>
      </c>
      <c r="C69" s="118">
        <v>2.41</v>
      </c>
      <c r="D69" s="117">
        <f>C69*B8*8</f>
        <v>33032.423999999999</v>
      </c>
    </row>
    <row r="70" spans="1:4" ht="3.75" customHeight="1">
      <c r="A70" s="140"/>
      <c r="B70" s="141"/>
      <c r="C70" s="118"/>
      <c r="D70" s="117"/>
    </row>
    <row r="71" spans="1:4" ht="15" customHeight="1">
      <c r="A71" s="121" t="s">
        <v>56</v>
      </c>
      <c r="B71" s="122"/>
      <c r="C71" s="122"/>
      <c r="D71" s="123"/>
    </row>
    <row r="72" spans="1:4" ht="16.5" customHeight="1">
      <c r="A72" s="6" t="s">
        <v>91</v>
      </c>
      <c r="B72" s="21" t="s">
        <v>88</v>
      </c>
      <c r="C72" s="131">
        <v>2.14</v>
      </c>
      <c r="D72" s="133">
        <v>29332.82</v>
      </c>
    </row>
    <row r="73" spans="1:4">
      <c r="A73" s="6" t="s">
        <v>92</v>
      </c>
      <c r="B73" s="21" t="s">
        <v>88</v>
      </c>
      <c r="C73" s="132"/>
      <c r="D73" s="134"/>
    </row>
    <row r="74" spans="1:4" ht="15" customHeight="1">
      <c r="A74" s="6" t="s">
        <v>93</v>
      </c>
      <c r="B74" s="21" t="s">
        <v>88</v>
      </c>
      <c r="C74" s="130"/>
      <c r="D74" s="135"/>
    </row>
    <row r="75" spans="1:4" ht="38.25" customHeight="1">
      <c r="A75" s="6" t="s">
        <v>165</v>
      </c>
      <c r="B75" s="22" t="s">
        <v>23</v>
      </c>
      <c r="C75" s="105">
        <v>4.3499999999999996</v>
      </c>
      <c r="D75" s="105">
        <v>57607.86</v>
      </c>
    </row>
    <row r="76" spans="1:4" ht="18" customHeight="1">
      <c r="A76" s="6" t="s">
        <v>316</v>
      </c>
      <c r="B76" s="22"/>
      <c r="C76" s="105"/>
      <c r="D76" s="105">
        <v>-7069.57</v>
      </c>
    </row>
    <row r="77" spans="1:4">
      <c r="A77" s="108" t="s">
        <v>57</v>
      </c>
      <c r="B77" s="23"/>
      <c r="C77" s="28">
        <f>C75+C72+C69+C62+C49+C45+C38+C31+C27+C20+C18+C17+C16+C14+C13</f>
        <v>21.62425611393218</v>
      </c>
      <c r="D77" s="57">
        <f>D75+D72+D69+D62+D49+D45+D38+D31+D27+D20+D18+D17+D16+D14+D13+D76</f>
        <v>287307.27800000005</v>
      </c>
    </row>
    <row r="78" spans="1:4">
      <c r="C78" t="s">
        <v>284</v>
      </c>
    </row>
    <row r="79" spans="1:4">
      <c r="D79" s="42"/>
    </row>
    <row r="80" spans="1:4">
      <c r="D80" s="42"/>
    </row>
    <row r="81" spans="4:4">
      <c r="D81" s="42"/>
    </row>
    <row r="82" spans="4:4">
      <c r="D82" s="42"/>
    </row>
  </sheetData>
  <mergeCells count="30">
    <mergeCell ref="A71:D71"/>
    <mergeCell ref="C72:C74"/>
    <mergeCell ref="D72:D74"/>
    <mergeCell ref="A61:D61"/>
    <mergeCell ref="A69:A70"/>
    <mergeCell ref="B69:B70"/>
    <mergeCell ref="C69:C70"/>
    <mergeCell ref="D69:D70"/>
    <mergeCell ref="A68:D68"/>
    <mergeCell ref="C62:C67"/>
    <mergeCell ref="D62:D67"/>
    <mergeCell ref="A44:D44"/>
    <mergeCell ref="C45:C47"/>
    <mergeCell ref="D45:D47"/>
    <mergeCell ref="A48:D48"/>
    <mergeCell ref="C49:C60"/>
    <mergeCell ref="D49:D60"/>
    <mergeCell ref="C38:C43"/>
    <mergeCell ref="D38:D43"/>
    <mergeCell ref="A12:D12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60" workbookViewId="0">
      <selection activeCell="A78" sqref="A77:A7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308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1984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1694.9</v>
      </c>
      <c r="C8" s="2"/>
      <c r="D8" s="2"/>
    </row>
    <row r="9" spans="1:4">
      <c r="A9" s="25" t="s">
        <v>63</v>
      </c>
      <c r="B9" s="2">
        <v>169</v>
      </c>
      <c r="C9" s="2"/>
      <c r="D9" s="2"/>
    </row>
    <row r="10" spans="1:4">
      <c r="A10" s="25" t="s">
        <v>74</v>
      </c>
      <c r="B10" s="48">
        <v>438.3</v>
      </c>
      <c r="C10" s="2"/>
      <c r="D10" s="2"/>
    </row>
    <row r="11" spans="1:4" ht="36.75">
      <c r="A11" s="107" t="s">
        <v>1</v>
      </c>
      <c r="B11" s="107" t="s">
        <v>2</v>
      </c>
      <c r="C11" s="107" t="s">
        <v>3</v>
      </c>
      <c r="D11" s="10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7" t="s">
        <v>7</v>
      </c>
      <c r="C13" s="106">
        <v>0.14000000000000001</v>
      </c>
      <c r="D13" s="29">
        <f>C13*8*B8</f>
        <v>1898.2880000000002</v>
      </c>
    </row>
    <row r="14" spans="1:4" ht="75.75" customHeight="1">
      <c r="A14" s="6" t="s">
        <v>90</v>
      </c>
      <c r="B14" s="107" t="s">
        <v>9</v>
      </c>
      <c r="C14" s="26">
        <v>2.4900000000000002</v>
      </c>
      <c r="D14" s="29">
        <f>C14*8*B8</f>
        <v>33762.408000000003</v>
      </c>
    </row>
    <row r="15" spans="1:4" ht="13.5" customHeight="1">
      <c r="A15" s="41" t="s">
        <v>98</v>
      </c>
      <c r="B15" s="108"/>
      <c r="C15" s="108"/>
      <c r="D15" s="108"/>
    </row>
    <row r="16" spans="1:4" ht="13.5" customHeight="1">
      <c r="A16" s="6" t="s">
        <v>12</v>
      </c>
      <c r="B16" s="107" t="s">
        <v>76</v>
      </c>
      <c r="C16" s="118">
        <v>2.16</v>
      </c>
      <c r="D16" s="125">
        <f>C16*B8*8</f>
        <v>29287.872000000003</v>
      </c>
    </row>
    <row r="17" spans="1:4" ht="12.75" customHeight="1">
      <c r="A17" s="6" t="s">
        <v>13</v>
      </c>
      <c r="B17" s="107" t="s">
        <v>76</v>
      </c>
      <c r="C17" s="118"/>
      <c r="D17" s="126"/>
    </row>
    <row r="18" spans="1:4" ht="14.25" customHeight="1">
      <c r="A18" s="6" t="s">
        <v>14</v>
      </c>
      <c r="B18" s="107" t="s">
        <v>76</v>
      </c>
      <c r="C18" s="118"/>
      <c r="D18" s="126"/>
    </row>
    <row r="19" spans="1:4" ht="13.5" customHeight="1">
      <c r="A19" s="6" t="s">
        <v>15</v>
      </c>
      <c r="B19" s="107" t="s">
        <v>77</v>
      </c>
      <c r="C19" s="118"/>
      <c r="D19" s="126"/>
    </row>
    <row r="20" spans="1:4" ht="12.75" customHeight="1">
      <c r="A20" s="41" t="s">
        <v>94</v>
      </c>
      <c r="B20" s="107"/>
      <c r="C20" s="118"/>
      <c r="D20" s="126"/>
    </row>
    <row r="21" spans="1:4" ht="30" customHeight="1">
      <c r="A21" s="6" t="s">
        <v>16</v>
      </c>
      <c r="B21" s="107" t="s">
        <v>95</v>
      </c>
      <c r="C21" s="118"/>
      <c r="D21" s="127"/>
    </row>
    <row r="22" spans="1:4" ht="12.75" customHeight="1">
      <c r="A22" s="121" t="s">
        <v>17</v>
      </c>
      <c r="B22" s="122"/>
      <c r="C22" s="122"/>
      <c r="D22" s="123"/>
    </row>
    <row r="23" spans="1:4" ht="12" customHeight="1">
      <c r="A23" s="7" t="s">
        <v>18</v>
      </c>
      <c r="B23" s="21" t="s">
        <v>79</v>
      </c>
      <c r="C23" s="118">
        <v>0.2</v>
      </c>
      <c r="D23" s="128">
        <f>C23*B8*8</f>
        <v>2711.84</v>
      </c>
    </row>
    <row r="24" spans="1:4" ht="12" customHeight="1">
      <c r="A24" s="7" t="s">
        <v>19</v>
      </c>
      <c r="B24" s="21" t="s">
        <v>78</v>
      </c>
      <c r="C24" s="118"/>
      <c r="D24" s="128"/>
    </row>
    <row r="25" spans="1:4" ht="13.5" customHeight="1">
      <c r="A25" s="121" t="s">
        <v>20</v>
      </c>
      <c r="B25" s="122"/>
      <c r="C25" s="122"/>
      <c r="D25" s="123"/>
    </row>
    <row r="26" spans="1:4">
      <c r="A26" s="128" t="s">
        <v>21</v>
      </c>
      <c r="B26" s="128"/>
      <c r="C26" s="128"/>
      <c r="D26" s="128"/>
    </row>
    <row r="27" spans="1:4" ht="37.5" customHeight="1">
      <c r="A27" s="8" t="s">
        <v>22</v>
      </c>
      <c r="B27" s="22" t="s">
        <v>80</v>
      </c>
      <c r="C27" s="118">
        <v>0.61</v>
      </c>
      <c r="D27" s="117">
        <f>C27*B8*8</f>
        <v>8271.112000000001</v>
      </c>
    </row>
    <row r="28" spans="1:4" ht="15" customHeight="1">
      <c r="A28" s="9" t="s">
        <v>24</v>
      </c>
      <c r="B28" s="23" t="s">
        <v>81</v>
      </c>
      <c r="C28" s="118"/>
      <c r="D28" s="126"/>
    </row>
    <row r="29" spans="1:4" ht="13.5" customHeight="1">
      <c r="A29" s="9" t="s">
        <v>26</v>
      </c>
      <c r="B29" s="23" t="s">
        <v>81</v>
      </c>
      <c r="C29" s="118"/>
      <c r="D29" s="126"/>
    </row>
    <row r="30" spans="1:4" ht="36" customHeight="1">
      <c r="A30" s="9" t="s">
        <v>27</v>
      </c>
      <c r="B30" s="22" t="s">
        <v>23</v>
      </c>
      <c r="C30" s="118"/>
      <c r="D30" s="126"/>
    </row>
    <row r="31" spans="1:4" ht="14.25" customHeight="1">
      <c r="A31" s="9" t="s">
        <v>28</v>
      </c>
      <c r="B31" s="22" t="s">
        <v>25</v>
      </c>
      <c r="C31" s="118"/>
      <c r="D31" s="126"/>
    </row>
    <row r="32" spans="1:4" ht="33.75" customHeight="1">
      <c r="A32" s="24" t="s">
        <v>29</v>
      </c>
      <c r="B32" s="22" t="s">
        <v>23</v>
      </c>
      <c r="C32" s="129"/>
      <c r="D32" s="127"/>
    </row>
    <row r="33" spans="1:4" ht="15.75" customHeight="1">
      <c r="A33" s="128" t="s">
        <v>66</v>
      </c>
      <c r="B33" s="128"/>
      <c r="C33" s="128"/>
      <c r="D33" s="128"/>
    </row>
    <row r="34" spans="1:4" ht="36.75" customHeight="1">
      <c r="A34" s="9" t="s">
        <v>67</v>
      </c>
      <c r="B34" s="22" t="s">
        <v>80</v>
      </c>
      <c r="C34" s="117">
        <v>1</v>
      </c>
      <c r="D34" s="118">
        <f>C34*B8*8</f>
        <v>13559.2</v>
      </c>
    </row>
    <row r="35" spans="1:4" ht="14.25" customHeight="1">
      <c r="A35" s="9" t="s">
        <v>68</v>
      </c>
      <c r="B35" s="22" t="s">
        <v>81</v>
      </c>
      <c r="C35" s="117"/>
      <c r="D35" s="119"/>
    </row>
    <row r="36" spans="1:4" ht="14.25" customHeight="1">
      <c r="A36" s="9" t="s">
        <v>69</v>
      </c>
      <c r="B36" s="22" t="s">
        <v>81</v>
      </c>
      <c r="C36" s="117"/>
      <c r="D36" s="119"/>
    </row>
    <row r="37" spans="1:4" ht="24" customHeight="1">
      <c r="A37" s="9" t="s">
        <v>70</v>
      </c>
      <c r="B37" s="22" t="s">
        <v>80</v>
      </c>
      <c r="C37" s="117"/>
      <c r="D37" s="119"/>
    </row>
    <row r="38" spans="1:4" ht="25.5" customHeight="1">
      <c r="A38" s="10" t="s">
        <v>71</v>
      </c>
      <c r="B38" s="22" t="s">
        <v>80</v>
      </c>
      <c r="C38" s="117"/>
      <c r="D38" s="119"/>
    </row>
    <row r="39" spans="1:4" ht="14.25" customHeight="1">
      <c r="A39" s="9" t="s">
        <v>72</v>
      </c>
      <c r="B39" s="22" t="s">
        <v>25</v>
      </c>
      <c r="C39" s="117"/>
      <c r="D39" s="120"/>
    </row>
    <row r="40" spans="1:4" ht="11.25" customHeight="1">
      <c r="A40" s="130" t="s">
        <v>30</v>
      </c>
      <c r="B40" s="130"/>
      <c r="C40" s="130"/>
      <c r="D40" s="130"/>
    </row>
    <row r="41" spans="1:4" ht="35.25" customHeight="1">
      <c r="A41" s="9" t="s">
        <v>31</v>
      </c>
      <c r="B41" s="22" t="s">
        <v>23</v>
      </c>
      <c r="C41" s="117">
        <v>0.7</v>
      </c>
      <c r="D41" s="118">
        <f>C41*8*B8</f>
        <v>9491.44</v>
      </c>
    </row>
    <row r="42" spans="1:4" ht="38.25" customHeight="1">
      <c r="A42" s="9" t="s">
        <v>32</v>
      </c>
      <c r="B42" s="22" t="s">
        <v>23</v>
      </c>
      <c r="C42" s="117"/>
      <c r="D42" s="118"/>
    </row>
    <row r="43" spans="1:4" ht="15" customHeight="1">
      <c r="A43" s="10" t="s">
        <v>33</v>
      </c>
      <c r="B43" s="22" t="s">
        <v>23</v>
      </c>
      <c r="C43" s="117"/>
      <c r="D43" s="118"/>
    </row>
    <row r="44" spans="1:4" ht="12.75" customHeight="1">
      <c r="A44" s="128" t="s">
        <v>34</v>
      </c>
      <c r="B44" s="128"/>
      <c r="C44" s="128"/>
      <c r="D44" s="128"/>
    </row>
    <row r="45" spans="1:4" ht="29.25" customHeight="1">
      <c r="A45" s="9" t="s">
        <v>35</v>
      </c>
      <c r="B45" s="22" t="s">
        <v>78</v>
      </c>
      <c r="C45" s="117">
        <v>3.62</v>
      </c>
      <c r="D45" s="117">
        <f>C45*8*B8+19.69+12.1</f>
        <v>49116.094000000005</v>
      </c>
    </row>
    <row r="46" spans="1:4" ht="14.25" customHeight="1">
      <c r="A46" s="9" t="s">
        <v>36</v>
      </c>
      <c r="B46" s="22" t="s">
        <v>82</v>
      </c>
      <c r="C46" s="117"/>
      <c r="D46" s="117"/>
    </row>
    <row r="47" spans="1:4" ht="17.25" customHeight="1">
      <c r="A47" s="9" t="s">
        <v>37</v>
      </c>
      <c r="B47" s="22" t="s">
        <v>82</v>
      </c>
      <c r="C47" s="117"/>
      <c r="D47" s="117"/>
    </row>
    <row r="48" spans="1:4" ht="24.75" customHeight="1">
      <c r="A48" s="9" t="s">
        <v>38</v>
      </c>
      <c r="B48" s="22" t="s">
        <v>83</v>
      </c>
      <c r="C48" s="117"/>
      <c r="D48" s="117"/>
    </row>
    <row r="49" spans="1:4" ht="30" customHeight="1">
      <c r="A49" s="9" t="s">
        <v>39</v>
      </c>
      <c r="B49" s="22" t="s">
        <v>83</v>
      </c>
      <c r="C49" s="117"/>
      <c r="D49" s="117"/>
    </row>
    <row r="50" spans="1:4" ht="12.75" customHeight="1">
      <c r="A50" s="108" t="s">
        <v>96</v>
      </c>
      <c r="B50" s="6"/>
      <c r="C50" s="117"/>
      <c r="D50" s="117"/>
    </row>
    <row r="51" spans="1:4" ht="35.25" customHeight="1">
      <c r="A51" s="9" t="s">
        <v>41</v>
      </c>
      <c r="B51" s="22" t="s">
        <v>80</v>
      </c>
      <c r="C51" s="117"/>
      <c r="D51" s="117"/>
    </row>
    <row r="52" spans="1:4" ht="14.25" customHeight="1">
      <c r="A52" s="9" t="s">
        <v>42</v>
      </c>
      <c r="B52" s="22" t="s">
        <v>81</v>
      </c>
      <c r="C52" s="117"/>
      <c r="D52" s="117"/>
    </row>
    <row r="53" spans="1:4" ht="14.25" customHeight="1">
      <c r="A53" s="9" t="s">
        <v>43</v>
      </c>
      <c r="B53" s="23" t="s">
        <v>81</v>
      </c>
      <c r="C53" s="117"/>
      <c r="D53" s="117"/>
    </row>
    <row r="54" spans="1:4" ht="13.5" customHeight="1">
      <c r="A54" s="9" t="s">
        <v>44</v>
      </c>
      <c r="B54" s="23" t="s">
        <v>81</v>
      </c>
      <c r="C54" s="117"/>
      <c r="D54" s="117"/>
    </row>
    <row r="55" spans="1:4" ht="13.5" customHeight="1">
      <c r="A55" s="9" t="s">
        <v>45</v>
      </c>
      <c r="B55" s="21" t="s">
        <v>309</v>
      </c>
      <c r="C55" s="117"/>
      <c r="D55" s="117"/>
    </row>
    <row r="56" spans="1:4" ht="36.75" customHeight="1">
      <c r="A56" s="10" t="s">
        <v>46</v>
      </c>
      <c r="B56" s="22" t="s">
        <v>23</v>
      </c>
      <c r="C56" s="117"/>
      <c r="D56" s="117"/>
    </row>
    <row r="57" spans="1:4">
      <c r="A57" s="128" t="s">
        <v>47</v>
      </c>
      <c r="B57" s="128"/>
      <c r="C57" s="128"/>
      <c r="D57" s="128"/>
    </row>
    <row r="58" spans="1:4" ht="15.75" customHeight="1">
      <c r="A58" s="9" t="s">
        <v>48</v>
      </c>
      <c r="B58" s="22" t="s">
        <v>84</v>
      </c>
      <c r="C58" s="129">
        <v>1.8</v>
      </c>
      <c r="D58" s="136">
        <f>C58*B8*8</f>
        <v>24406.560000000001</v>
      </c>
    </row>
    <row r="59" spans="1:4" ht="12.75" customHeight="1">
      <c r="A59" s="9" t="s">
        <v>49</v>
      </c>
      <c r="B59" s="22" t="s">
        <v>84</v>
      </c>
      <c r="C59" s="119"/>
      <c r="D59" s="137"/>
    </row>
    <row r="60" spans="1:4" ht="15.75" customHeight="1">
      <c r="A60" s="9" t="s">
        <v>50</v>
      </c>
      <c r="B60" s="22" t="s">
        <v>84</v>
      </c>
      <c r="C60" s="119"/>
      <c r="D60" s="137"/>
    </row>
    <row r="61" spans="1:4" ht="16.5" customHeight="1">
      <c r="A61" s="9" t="s">
        <v>51</v>
      </c>
      <c r="B61" s="22" t="s">
        <v>84</v>
      </c>
      <c r="C61" s="119"/>
      <c r="D61" s="137"/>
    </row>
    <row r="62" spans="1:4" ht="36.75" customHeight="1">
      <c r="A62" s="10" t="s">
        <v>52</v>
      </c>
      <c r="B62" s="22" t="s">
        <v>23</v>
      </c>
      <c r="C62" s="119"/>
      <c r="D62" s="137"/>
    </row>
    <row r="63" spans="1:4" ht="16.5" customHeight="1">
      <c r="A63" s="10" t="s">
        <v>53</v>
      </c>
      <c r="B63" s="23" t="s">
        <v>85</v>
      </c>
      <c r="C63" s="119"/>
      <c r="D63" s="137"/>
    </row>
    <row r="64" spans="1:4" ht="16.5" customHeight="1">
      <c r="A64" s="56" t="s">
        <v>124</v>
      </c>
      <c r="B64" s="23" t="s">
        <v>125</v>
      </c>
      <c r="C64" s="120"/>
      <c r="D64" s="138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C66*B8*8</f>
        <v>32677.672000000002</v>
      </c>
    </row>
    <row r="67" spans="1:4" ht="3.7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29021.22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105">
        <v>4.3499999999999996</v>
      </c>
      <c r="D72" s="105">
        <v>58992.38</v>
      </c>
    </row>
    <row r="73" spans="1:4">
      <c r="A73" s="108" t="s">
        <v>57</v>
      </c>
      <c r="B73" s="23"/>
      <c r="C73" s="28">
        <f>C72+C69+C66+C58+C45+C41+C34+C27+C23+C16+C14+C13</f>
        <v>21.619999999999997</v>
      </c>
      <c r="D73" s="57">
        <f>D72+D69+D66+D58+D45+D41+D34+D27+D23+D16+D14+D13</f>
        <v>293196.08600000007</v>
      </c>
    </row>
    <row r="74" spans="1:4">
      <c r="C74" t="s">
        <v>284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  <row r="79" spans="1:4">
      <c r="D79" s="42"/>
    </row>
  </sheetData>
  <mergeCells count="30">
    <mergeCell ref="A68:D68"/>
    <mergeCell ref="C69:C71"/>
    <mergeCell ref="D69:D71"/>
    <mergeCell ref="A57:D57"/>
    <mergeCell ref="C58:C64"/>
    <mergeCell ref="D58:D64"/>
    <mergeCell ref="A66:A67"/>
    <mergeCell ref="B66:B67"/>
    <mergeCell ref="C66:C67"/>
    <mergeCell ref="D66:D67"/>
    <mergeCell ref="A65:D65"/>
    <mergeCell ref="A40:D40"/>
    <mergeCell ref="C41:C43"/>
    <mergeCell ref="D41:D43"/>
    <mergeCell ref="A44:D44"/>
    <mergeCell ref="C45:C56"/>
    <mergeCell ref="D45:D56"/>
    <mergeCell ref="C34:C39"/>
    <mergeCell ref="D34:D39"/>
    <mergeCell ref="A12:D12"/>
    <mergeCell ref="C16:C21"/>
    <mergeCell ref="D16:D21"/>
    <mergeCell ref="A22:D22"/>
    <mergeCell ref="C23:C24"/>
    <mergeCell ref="D23:D24"/>
    <mergeCell ref="A25:D25"/>
    <mergeCell ref="A26:D26"/>
    <mergeCell ref="C27:C32"/>
    <mergeCell ref="D27:D32"/>
    <mergeCell ref="A33:D3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83"/>
  <sheetViews>
    <sheetView topLeftCell="A59" workbookViewId="0">
      <selection activeCell="D80" sqref="D80:D82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307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1986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1697.3</v>
      </c>
      <c r="C8" s="2"/>
      <c r="D8" s="2"/>
    </row>
    <row r="9" spans="1:4">
      <c r="A9" s="25" t="s">
        <v>63</v>
      </c>
      <c r="B9" s="2">
        <v>170</v>
      </c>
      <c r="C9" s="2"/>
      <c r="D9" s="2"/>
    </row>
    <row r="10" spans="1:4">
      <c r="A10" s="25" t="s">
        <v>74</v>
      </c>
      <c r="B10" s="48">
        <v>439.5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1900.9760000000001</v>
      </c>
    </row>
    <row r="14" spans="1:4" ht="75.75" customHeight="1">
      <c r="A14" s="6" t="s">
        <v>90</v>
      </c>
      <c r="B14" s="103" t="s">
        <v>9</v>
      </c>
      <c r="C14" s="26">
        <v>1.1200000000000001</v>
      </c>
      <c r="D14" s="29">
        <f>C14*8*B8</f>
        <v>15207.808000000001</v>
      </c>
    </row>
    <row r="15" spans="1:4">
      <c r="A15" s="6" t="s">
        <v>10</v>
      </c>
      <c r="B15" s="107"/>
      <c r="C15" s="26"/>
      <c r="D15" s="30"/>
    </row>
    <row r="16" spans="1:4">
      <c r="A16" s="6" t="s">
        <v>312</v>
      </c>
      <c r="B16" s="107" t="s">
        <v>140</v>
      </c>
      <c r="C16" s="26">
        <v>0.28000000000000003</v>
      </c>
      <c r="D16" s="30">
        <f>C16*8*B8</f>
        <v>3801.9520000000002</v>
      </c>
    </row>
    <row r="17" spans="1:4">
      <c r="A17" s="6" t="s">
        <v>310</v>
      </c>
      <c r="B17" s="107" t="s">
        <v>89</v>
      </c>
      <c r="C17" s="26">
        <v>2.11</v>
      </c>
      <c r="D17" s="30">
        <f>C17*8*B8</f>
        <v>28650.423999999999</v>
      </c>
    </row>
    <row r="18" spans="1:4">
      <c r="A18" s="6" t="s">
        <v>194</v>
      </c>
      <c r="B18" s="107" t="s">
        <v>89</v>
      </c>
      <c r="C18" s="46">
        <v>0.18</v>
      </c>
      <c r="D18" s="30">
        <f>C18*8*B8</f>
        <v>2444.1119999999996</v>
      </c>
    </row>
    <row r="19" spans="1:4">
      <c r="A19" s="6" t="s">
        <v>311</v>
      </c>
      <c r="B19" s="107" t="s">
        <v>89</v>
      </c>
      <c r="C19" s="46">
        <v>0.43</v>
      </c>
      <c r="D19" s="30">
        <f>C19*8*B8</f>
        <v>5838.7119999999995</v>
      </c>
    </row>
    <row r="20" spans="1:4" ht="13.5" customHeight="1">
      <c r="A20" s="41" t="s">
        <v>98</v>
      </c>
      <c r="B20" s="99"/>
      <c r="C20" s="99"/>
      <c r="D20" s="99"/>
    </row>
    <row r="21" spans="1:4" ht="13.5" customHeight="1">
      <c r="A21" s="6" t="s">
        <v>12</v>
      </c>
      <c r="B21" s="103" t="s">
        <v>76</v>
      </c>
      <c r="C21" s="118">
        <v>2.16</v>
      </c>
      <c r="D21" s="125">
        <f>C21*B8*8</f>
        <v>29329.344000000001</v>
      </c>
    </row>
    <row r="22" spans="1:4" ht="12.75" customHeight="1">
      <c r="A22" s="6" t="s">
        <v>13</v>
      </c>
      <c r="B22" s="103" t="s">
        <v>76</v>
      </c>
      <c r="C22" s="118"/>
      <c r="D22" s="126"/>
    </row>
    <row r="23" spans="1:4" ht="14.25" customHeight="1">
      <c r="A23" s="6" t="s">
        <v>14</v>
      </c>
      <c r="B23" s="103" t="s">
        <v>76</v>
      </c>
      <c r="C23" s="118"/>
      <c r="D23" s="126"/>
    </row>
    <row r="24" spans="1:4" ht="13.5" customHeight="1">
      <c r="A24" s="6" t="s">
        <v>15</v>
      </c>
      <c r="B24" s="103" t="s">
        <v>77</v>
      </c>
      <c r="C24" s="118"/>
      <c r="D24" s="126"/>
    </row>
    <row r="25" spans="1:4" ht="12.75" customHeight="1">
      <c r="A25" s="41" t="s">
        <v>94</v>
      </c>
      <c r="B25" s="103"/>
      <c r="C25" s="118"/>
      <c r="D25" s="126"/>
    </row>
    <row r="26" spans="1:4" ht="30" customHeight="1">
      <c r="A26" s="6" t="s">
        <v>16</v>
      </c>
      <c r="B26" s="103" t="s">
        <v>95</v>
      </c>
      <c r="C26" s="118"/>
      <c r="D26" s="127"/>
    </row>
    <row r="27" spans="1:4" ht="12.75" customHeight="1">
      <c r="A27" s="121" t="s">
        <v>17</v>
      </c>
      <c r="B27" s="122"/>
      <c r="C27" s="122"/>
      <c r="D27" s="123"/>
    </row>
    <row r="28" spans="1:4" ht="12" customHeight="1">
      <c r="A28" s="7" t="s">
        <v>18</v>
      </c>
      <c r="B28" s="21" t="s">
        <v>79</v>
      </c>
      <c r="C28" s="118">
        <v>0.2</v>
      </c>
      <c r="D28" s="128">
        <f>C28*B8*8</f>
        <v>2715.6800000000003</v>
      </c>
    </row>
    <row r="29" spans="1:4" ht="12" customHeight="1">
      <c r="A29" s="7" t="s">
        <v>19</v>
      </c>
      <c r="B29" s="21" t="s">
        <v>78</v>
      </c>
      <c r="C29" s="118"/>
      <c r="D29" s="128"/>
    </row>
    <row r="30" spans="1:4" ht="13.5" customHeight="1">
      <c r="A30" s="121" t="s">
        <v>20</v>
      </c>
      <c r="B30" s="122"/>
      <c r="C30" s="122"/>
      <c r="D30" s="123"/>
    </row>
    <row r="31" spans="1:4">
      <c r="A31" s="128" t="s">
        <v>21</v>
      </c>
      <c r="B31" s="128"/>
      <c r="C31" s="128"/>
      <c r="D31" s="128"/>
    </row>
    <row r="32" spans="1:4" ht="37.5" customHeight="1">
      <c r="A32" s="8" t="s">
        <v>22</v>
      </c>
      <c r="B32" s="22" t="s">
        <v>80</v>
      </c>
      <c r="C32" s="118">
        <v>0.61</v>
      </c>
      <c r="D32" s="117">
        <f>C32*B8*8</f>
        <v>8282.8239999999987</v>
      </c>
    </row>
    <row r="33" spans="1:4" ht="15" customHeight="1">
      <c r="A33" s="9" t="s">
        <v>24</v>
      </c>
      <c r="B33" s="23" t="s">
        <v>81</v>
      </c>
      <c r="C33" s="118"/>
      <c r="D33" s="126"/>
    </row>
    <row r="34" spans="1:4" ht="13.5" customHeight="1">
      <c r="A34" s="9" t="s">
        <v>26</v>
      </c>
      <c r="B34" s="23" t="s">
        <v>81</v>
      </c>
      <c r="C34" s="118"/>
      <c r="D34" s="126"/>
    </row>
    <row r="35" spans="1:4" ht="36" customHeight="1">
      <c r="A35" s="9" t="s">
        <v>27</v>
      </c>
      <c r="B35" s="22" t="s">
        <v>23</v>
      </c>
      <c r="C35" s="118"/>
      <c r="D35" s="126"/>
    </row>
    <row r="36" spans="1:4" ht="14.25" customHeight="1">
      <c r="A36" s="9" t="s">
        <v>28</v>
      </c>
      <c r="B36" s="22" t="s">
        <v>25</v>
      </c>
      <c r="C36" s="118"/>
      <c r="D36" s="126"/>
    </row>
    <row r="37" spans="1:4" ht="33.75" customHeight="1">
      <c r="A37" s="24" t="s">
        <v>29</v>
      </c>
      <c r="B37" s="22" t="s">
        <v>23</v>
      </c>
      <c r="C37" s="129"/>
      <c r="D37" s="127"/>
    </row>
    <row r="38" spans="1:4" ht="15.75" customHeight="1">
      <c r="A38" s="128" t="s">
        <v>66</v>
      </c>
      <c r="B38" s="128"/>
      <c r="C38" s="128"/>
      <c r="D38" s="128"/>
    </row>
    <row r="39" spans="1:4" ht="36.75" customHeight="1">
      <c r="A39" s="9" t="s">
        <v>67</v>
      </c>
      <c r="B39" s="22" t="s">
        <v>80</v>
      </c>
      <c r="C39" s="117">
        <v>1</v>
      </c>
      <c r="D39" s="118">
        <f>C39*B8*8</f>
        <v>13578.4</v>
      </c>
    </row>
    <row r="40" spans="1:4" ht="14.25" customHeight="1">
      <c r="A40" s="9" t="s">
        <v>68</v>
      </c>
      <c r="B40" s="22" t="s">
        <v>81</v>
      </c>
      <c r="C40" s="117"/>
      <c r="D40" s="119"/>
    </row>
    <row r="41" spans="1:4" ht="14.25" customHeight="1">
      <c r="A41" s="9" t="s">
        <v>69</v>
      </c>
      <c r="B41" s="22" t="s">
        <v>81</v>
      </c>
      <c r="C41" s="117"/>
      <c r="D41" s="119"/>
    </row>
    <row r="42" spans="1:4" ht="24" customHeight="1">
      <c r="A42" s="9" t="s">
        <v>70</v>
      </c>
      <c r="B42" s="22" t="s">
        <v>80</v>
      </c>
      <c r="C42" s="117"/>
      <c r="D42" s="119"/>
    </row>
    <row r="43" spans="1:4" ht="25.5" customHeight="1">
      <c r="A43" s="10" t="s">
        <v>71</v>
      </c>
      <c r="B43" s="22" t="s">
        <v>80</v>
      </c>
      <c r="C43" s="117"/>
      <c r="D43" s="119"/>
    </row>
    <row r="44" spans="1:4" ht="14.25" customHeight="1">
      <c r="A44" s="9" t="s">
        <v>72</v>
      </c>
      <c r="B44" s="22" t="s">
        <v>25</v>
      </c>
      <c r="C44" s="117"/>
      <c r="D44" s="120"/>
    </row>
    <row r="45" spans="1:4" ht="11.25" customHeight="1">
      <c r="A45" s="130" t="s">
        <v>30</v>
      </c>
      <c r="B45" s="130"/>
      <c r="C45" s="130"/>
      <c r="D45" s="130"/>
    </row>
    <row r="46" spans="1:4" ht="35.25" customHeight="1">
      <c r="A46" s="9" t="s">
        <v>31</v>
      </c>
      <c r="B46" s="22" t="s">
        <v>23</v>
      </c>
      <c r="C46" s="117">
        <v>0.7</v>
      </c>
      <c r="D46" s="118">
        <f>C46*8*B8</f>
        <v>9504.8799999999992</v>
      </c>
    </row>
    <row r="47" spans="1:4" ht="38.25" customHeight="1">
      <c r="A47" s="9" t="s">
        <v>32</v>
      </c>
      <c r="B47" s="22" t="s">
        <v>23</v>
      </c>
      <c r="C47" s="117"/>
      <c r="D47" s="118"/>
    </row>
    <row r="48" spans="1:4" ht="15" customHeight="1">
      <c r="A48" s="10" t="s">
        <v>33</v>
      </c>
      <c r="B48" s="22" t="s">
        <v>23</v>
      </c>
      <c r="C48" s="117"/>
      <c r="D48" s="118"/>
    </row>
    <row r="49" spans="1:4" ht="12.75" customHeight="1">
      <c r="A49" s="128" t="s">
        <v>34</v>
      </c>
      <c r="B49" s="128"/>
      <c r="C49" s="128"/>
      <c r="D49" s="128"/>
    </row>
    <row r="50" spans="1:4" ht="29.25" customHeight="1">
      <c r="A50" s="9" t="s">
        <v>35</v>
      </c>
      <c r="B50" s="22" t="s">
        <v>78</v>
      </c>
      <c r="C50" s="117">
        <v>2.62</v>
      </c>
      <c r="D50" s="117">
        <f>C50*8*B8+0.01</f>
        <v>35575.418000000005</v>
      </c>
    </row>
    <row r="51" spans="1:4" ht="14.25" customHeight="1">
      <c r="A51" s="9" t="s">
        <v>36</v>
      </c>
      <c r="B51" s="22" t="s">
        <v>82</v>
      </c>
      <c r="C51" s="117"/>
      <c r="D51" s="117"/>
    </row>
    <row r="52" spans="1:4" ht="17.25" customHeight="1">
      <c r="A52" s="9" t="s">
        <v>37</v>
      </c>
      <c r="B52" s="22" t="s">
        <v>82</v>
      </c>
      <c r="C52" s="117"/>
      <c r="D52" s="117"/>
    </row>
    <row r="53" spans="1:4" ht="24.75" customHeight="1">
      <c r="A53" s="9" t="s">
        <v>38</v>
      </c>
      <c r="B53" s="22" t="s">
        <v>83</v>
      </c>
      <c r="C53" s="117"/>
      <c r="D53" s="117"/>
    </row>
    <row r="54" spans="1:4" ht="30" customHeight="1">
      <c r="A54" s="9" t="s">
        <v>39</v>
      </c>
      <c r="B54" s="22" t="s">
        <v>83</v>
      </c>
      <c r="C54" s="117"/>
      <c r="D54" s="117"/>
    </row>
    <row r="55" spans="1:4" ht="12.75" customHeight="1">
      <c r="A55" s="99" t="s">
        <v>96</v>
      </c>
      <c r="B55" s="6"/>
      <c r="C55" s="117"/>
      <c r="D55" s="117"/>
    </row>
    <row r="56" spans="1:4" ht="35.25" customHeight="1">
      <c r="A56" s="9" t="s">
        <v>41</v>
      </c>
      <c r="B56" s="22" t="s">
        <v>80</v>
      </c>
      <c r="C56" s="117"/>
      <c r="D56" s="117"/>
    </row>
    <row r="57" spans="1:4" ht="14.25" customHeight="1">
      <c r="A57" s="9" t="s">
        <v>42</v>
      </c>
      <c r="B57" s="22" t="s">
        <v>81</v>
      </c>
      <c r="C57" s="117"/>
      <c r="D57" s="117"/>
    </row>
    <row r="58" spans="1:4" ht="14.25" customHeight="1">
      <c r="A58" s="9" t="s">
        <v>43</v>
      </c>
      <c r="B58" s="23" t="s">
        <v>81</v>
      </c>
      <c r="C58" s="117"/>
      <c r="D58" s="117"/>
    </row>
    <row r="59" spans="1:4" ht="13.5" customHeight="1">
      <c r="A59" s="9" t="s">
        <v>44</v>
      </c>
      <c r="B59" s="23" t="s">
        <v>81</v>
      </c>
      <c r="C59" s="117"/>
      <c r="D59" s="117"/>
    </row>
    <row r="60" spans="1:4" ht="13.5" customHeight="1">
      <c r="A60" s="9" t="s">
        <v>45</v>
      </c>
      <c r="B60" s="21" t="s">
        <v>298</v>
      </c>
      <c r="C60" s="117"/>
      <c r="D60" s="117"/>
    </row>
    <row r="61" spans="1:4" ht="36.75" customHeight="1">
      <c r="A61" s="10" t="s">
        <v>46</v>
      </c>
      <c r="B61" s="22" t="s">
        <v>23</v>
      </c>
      <c r="C61" s="117"/>
      <c r="D61" s="117"/>
    </row>
    <row r="62" spans="1:4">
      <c r="A62" s="128" t="s">
        <v>47</v>
      </c>
      <c r="B62" s="128"/>
      <c r="C62" s="128"/>
      <c r="D62" s="128"/>
    </row>
    <row r="63" spans="1:4" ht="15.75" customHeight="1">
      <c r="A63" s="9" t="s">
        <v>48</v>
      </c>
      <c r="B63" s="22" t="s">
        <v>84</v>
      </c>
      <c r="C63" s="111"/>
      <c r="D63" s="113"/>
    </row>
    <row r="64" spans="1:4" ht="12.75" customHeight="1">
      <c r="A64" s="9" t="s">
        <v>49</v>
      </c>
      <c r="B64" s="22" t="s">
        <v>84</v>
      </c>
      <c r="C64" s="112"/>
      <c r="D64" s="114"/>
    </row>
    <row r="65" spans="1:4" ht="15.75" customHeight="1">
      <c r="A65" s="9" t="s">
        <v>50</v>
      </c>
      <c r="B65" s="22" t="s">
        <v>84</v>
      </c>
      <c r="C65" s="112"/>
      <c r="D65" s="114"/>
    </row>
    <row r="66" spans="1:4" ht="16.5" customHeight="1">
      <c r="A66" s="9" t="s">
        <v>51</v>
      </c>
      <c r="B66" s="22" t="s">
        <v>84</v>
      </c>
      <c r="C66" s="112"/>
      <c r="D66" s="114"/>
    </row>
    <row r="67" spans="1:4" ht="36.75" customHeight="1">
      <c r="A67" s="10" t="s">
        <v>52</v>
      </c>
      <c r="B67" s="22" t="s">
        <v>23</v>
      </c>
      <c r="C67" s="112"/>
      <c r="D67" s="114"/>
    </row>
    <row r="68" spans="1:4" ht="16.5" customHeight="1">
      <c r="A68" s="10" t="s">
        <v>53</v>
      </c>
      <c r="B68" s="23" t="s">
        <v>85</v>
      </c>
      <c r="C68" s="112">
        <v>0.54</v>
      </c>
      <c r="D68" s="114">
        <v>7332.33</v>
      </c>
    </row>
    <row r="69" spans="1:4" ht="16.5" customHeight="1">
      <c r="A69" s="56" t="s">
        <v>124</v>
      </c>
      <c r="B69" s="23" t="s">
        <v>125</v>
      </c>
      <c r="C69" s="115">
        <v>0.63</v>
      </c>
      <c r="D69" s="116">
        <v>8554.4</v>
      </c>
    </row>
    <row r="70" spans="1:4">
      <c r="A70" s="121" t="s">
        <v>86</v>
      </c>
      <c r="B70" s="122"/>
      <c r="C70" s="122"/>
      <c r="D70" s="123"/>
    </row>
    <row r="71" spans="1:4" ht="26.25" customHeight="1">
      <c r="A71" s="139" t="s">
        <v>97</v>
      </c>
      <c r="B71" s="141" t="s">
        <v>87</v>
      </c>
      <c r="C71" s="118">
        <v>2.41</v>
      </c>
      <c r="D71" s="117">
        <f>C71*B8*8</f>
        <v>32723.944</v>
      </c>
    </row>
    <row r="72" spans="1:4" ht="3.75" customHeight="1">
      <c r="A72" s="140"/>
      <c r="B72" s="141"/>
      <c r="C72" s="118"/>
      <c r="D72" s="117"/>
    </row>
    <row r="73" spans="1:4" ht="15" customHeight="1">
      <c r="A73" s="121" t="s">
        <v>56</v>
      </c>
      <c r="B73" s="122"/>
      <c r="C73" s="122"/>
      <c r="D73" s="123"/>
    </row>
    <row r="74" spans="1:4" ht="16.5" customHeight="1">
      <c r="A74" s="6" t="s">
        <v>91</v>
      </c>
      <c r="B74" s="21" t="s">
        <v>88</v>
      </c>
      <c r="C74" s="131">
        <v>2.14</v>
      </c>
      <c r="D74" s="133">
        <v>29057.68</v>
      </c>
    </row>
    <row r="75" spans="1:4">
      <c r="A75" s="6" t="s">
        <v>92</v>
      </c>
      <c r="B75" s="21" t="s">
        <v>88</v>
      </c>
      <c r="C75" s="132"/>
      <c r="D75" s="134"/>
    </row>
    <row r="76" spans="1:4" ht="15" customHeight="1">
      <c r="A76" s="6" t="s">
        <v>93</v>
      </c>
      <c r="B76" s="21" t="s">
        <v>88</v>
      </c>
      <c r="C76" s="130"/>
      <c r="D76" s="135"/>
    </row>
    <row r="77" spans="1:4" ht="38.25" customHeight="1">
      <c r="A77" s="6" t="s">
        <v>165</v>
      </c>
      <c r="B77" s="22" t="s">
        <v>23</v>
      </c>
      <c r="C77" s="101">
        <v>4.3499999999999996</v>
      </c>
      <c r="D77" s="101">
        <v>59066.96</v>
      </c>
    </row>
    <row r="78" spans="1:4">
      <c r="A78" s="99" t="s">
        <v>57</v>
      </c>
      <c r="B78" s="23"/>
      <c r="C78" s="28">
        <f>C77+C74+C71+C69+C68+C50+C46+C39+C32+C28+C21+C19+C18+C17+C16+C14+C13</f>
        <v>21.62</v>
      </c>
      <c r="D78" s="57">
        <f>D77+D74+D71+D69+D68+D50+D46+D39+D32+D28+D21+D19+D18+D17+D16+D14+D13</f>
        <v>293565.84400000004</v>
      </c>
    </row>
    <row r="79" spans="1:4">
      <c r="C79" t="s">
        <v>284</v>
      </c>
    </row>
    <row r="80" spans="1:4">
      <c r="D80" s="42"/>
    </row>
    <row r="81" spans="4:4">
      <c r="D81" s="42"/>
    </row>
    <row r="82" spans="4:4">
      <c r="D82" s="42"/>
    </row>
    <row r="83" spans="4:4">
      <c r="D83" s="42"/>
    </row>
  </sheetData>
  <mergeCells count="28">
    <mergeCell ref="C39:C44"/>
    <mergeCell ref="D39:D44"/>
    <mergeCell ref="A12:D12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  <mergeCell ref="A45:D45"/>
    <mergeCell ref="C46:C48"/>
    <mergeCell ref="D46:D48"/>
    <mergeCell ref="A49:D49"/>
    <mergeCell ref="C50:C61"/>
    <mergeCell ref="D50:D61"/>
    <mergeCell ref="A73:D73"/>
    <mergeCell ref="C74:C76"/>
    <mergeCell ref="D74:D76"/>
    <mergeCell ref="A62:D62"/>
    <mergeCell ref="A71:A72"/>
    <mergeCell ref="B71:B72"/>
    <mergeCell ref="C71:C72"/>
    <mergeCell ref="D71:D72"/>
    <mergeCell ref="A70:D7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58" workbookViewId="0">
      <selection activeCell="D60" sqref="D60:D65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305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1986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1700.6</v>
      </c>
      <c r="C8" s="2"/>
      <c r="D8" s="2"/>
    </row>
    <row r="9" spans="1:4">
      <c r="A9" s="25" t="s">
        <v>63</v>
      </c>
      <c r="B9" s="2">
        <v>170</v>
      </c>
      <c r="C9" s="2"/>
      <c r="D9" s="2"/>
    </row>
    <row r="10" spans="1:4">
      <c r="A10" s="25" t="s">
        <v>74</v>
      </c>
      <c r="B10" s="48">
        <v>447.1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1904.672</v>
      </c>
    </row>
    <row r="14" spans="1:4" ht="75.75" customHeight="1">
      <c r="A14" s="6" t="s">
        <v>90</v>
      </c>
      <c r="B14" s="103" t="s">
        <v>9</v>
      </c>
      <c r="C14" s="26">
        <v>2.54</v>
      </c>
      <c r="D14" s="29">
        <f>C14*8*B8</f>
        <v>34556.191999999995</v>
      </c>
    </row>
    <row r="15" spans="1:4">
      <c r="A15" s="6" t="s">
        <v>10</v>
      </c>
      <c r="B15" s="103"/>
      <c r="C15" s="26"/>
      <c r="D15" s="30"/>
    </row>
    <row r="16" spans="1:4">
      <c r="A16" s="6" t="s">
        <v>258</v>
      </c>
      <c r="B16" s="103" t="s">
        <v>89</v>
      </c>
      <c r="C16" s="46">
        <f>3750/8/B8</f>
        <v>0.2756380101140774</v>
      </c>
      <c r="D16" s="30">
        <f>C16*8*B8</f>
        <v>3750</v>
      </c>
    </row>
    <row r="17" spans="1:4" ht="13.5" customHeight="1">
      <c r="A17" s="41" t="s">
        <v>98</v>
      </c>
      <c r="B17" s="99"/>
      <c r="C17" s="99"/>
      <c r="D17" s="99"/>
    </row>
    <row r="18" spans="1:4" ht="13.5" customHeight="1">
      <c r="A18" s="6" t="s">
        <v>12</v>
      </c>
      <c r="B18" s="103" t="s">
        <v>76</v>
      </c>
      <c r="C18" s="118">
        <v>2.16</v>
      </c>
      <c r="D18" s="125">
        <f>C18*B8*8</f>
        <v>29386.367999999999</v>
      </c>
    </row>
    <row r="19" spans="1:4" ht="12.75" customHeight="1">
      <c r="A19" s="6" t="s">
        <v>13</v>
      </c>
      <c r="B19" s="103" t="s">
        <v>76</v>
      </c>
      <c r="C19" s="118"/>
      <c r="D19" s="126"/>
    </row>
    <row r="20" spans="1:4" ht="14.25" customHeight="1">
      <c r="A20" s="6" t="s">
        <v>14</v>
      </c>
      <c r="B20" s="103" t="s">
        <v>76</v>
      </c>
      <c r="C20" s="118"/>
      <c r="D20" s="126"/>
    </row>
    <row r="21" spans="1:4" ht="13.5" customHeight="1">
      <c r="A21" s="6" t="s">
        <v>15</v>
      </c>
      <c r="B21" s="103" t="s">
        <v>77</v>
      </c>
      <c r="C21" s="118"/>
      <c r="D21" s="126"/>
    </row>
    <row r="22" spans="1:4" ht="12.75" customHeight="1">
      <c r="A22" s="41" t="s">
        <v>94</v>
      </c>
      <c r="B22" s="103"/>
      <c r="C22" s="118"/>
      <c r="D22" s="126"/>
    </row>
    <row r="23" spans="1:4" ht="30" customHeight="1">
      <c r="A23" s="6" t="s">
        <v>16</v>
      </c>
      <c r="B23" s="103" t="s">
        <v>95</v>
      </c>
      <c r="C23" s="118"/>
      <c r="D23" s="127"/>
    </row>
    <row r="24" spans="1:4" ht="12.75" customHeight="1">
      <c r="A24" s="121" t="s">
        <v>17</v>
      </c>
      <c r="B24" s="122"/>
      <c r="C24" s="122"/>
      <c r="D24" s="123"/>
    </row>
    <row r="25" spans="1:4" ht="12" customHeight="1">
      <c r="A25" s="7" t="s">
        <v>18</v>
      </c>
      <c r="B25" s="21" t="s">
        <v>79</v>
      </c>
      <c r="C25" s="118">
        <v>0.2</v>
      </c>
      <c r="D25" s="128">
        <f>C25*B8*8</f>
        <v>2720.96</v>
      </c>
    </row>
    <row r="26" spans="1:4" ht="12" customHeight="1">
      <c r="A26" s="7" t="s">
        <v>19</v>
      </c>
      <c r="B26" s="21" t="s">
        <v>78</v>
      </c>
      <c r="C26" s="118"/>
      <c r="D26" s="128"/>
    </row>
    <row r="27" spans="1:4" ht="13.5" customHeight="1">
      <c r="A27" s="121" t="s">
        <v>20</v>
      </c>
      <c r="B27" s="122"/>
      <c r="C27" s="122"/>
      <c r="D27" s="123"/>
    </row>
    <row r="28" spans="1:4">
      <c r="A28" s="128" t="s">
        <v>21</v>
      </c>
      <c r="B28" s="128"/>
      <c r="C28" s="128"/>
      <c r="D28" s="128"/>
    </row>
    <row r="29" spans="1:4" ht="37.5" customHeight="1">
      <c r="A29" s="8" t="s">
        <v>22</v>
      </c>
      <c r="B29" s="22" t="s">
        <v>80</v>
      </c>
      <c r="C29" s="118">
        <v>0.61</v>
      </c>
      <c r="D29" s="117">
        <f>C29*B8*8</f>
        <v>8298.9279999999999</v>
      </c>
    </row>
    <row r="30" spans="1:4" ht="15" customHeight="1">
      <c r="A30" s="9" t="s">
        <v>24</v>
      </c>
      <c r="B30" s="23" t="s">
        <v>81</v>
      </c>
      <c r="C30" s="118"/>
      <c r="D30" s="126"/>
    </row>
    <row r="31" spans="1:4" ht="13.5" customHeight="1">
      <c r="A31" s="9" t="s">
        <v>26</v>
      </c>
      <c r="B31" s="23" t="s">
        <v>81</v>
      </c>
      <c r="C31" s="118"/>
      <c r="D31" s="126"/>
    </row>
    <row r="32" spans="1:4" ht="36" customHeight="1">
      <c r="A32" s="9" t="s">
        <v>27</v>
      </c>
      <c r="B32" s="22" t="s">
        <v>23</v>
      </c>
      <c r="C32" s="118"/>
      <c r="D32" s="126"/>
    </row>
    <row r="33" spans="1:4" ht="14.25" customHeight="1">
      <c r="A33" s="9" t="s">
        <v>28</v>
      </c>
      <c r="B33" s="22" t="s">
        <v>25</v>
      </c>
      <c r="C33" s="118"/>
      <c r="D33" s="126"/>
    </row>
    <row r="34" spans="1:4" ht="33.75" customHeight="1">
      <c r="A34" s="24" t="s">
        <v>29</v>
      </c>
      <c r="B34" s="22" t="s">
        <v>23</v>
      </c>
      <c r="C34" s="129"/>
      <c r="D34" s="127"/>
    </row>
    <row r="35" spans="1:4" ht="15.75" customHeight="1">
      <c r="A35" s="128" t="s">
        <v>66</v>
      </c>
      <c r="B35" s="128"/>
      <c r="C35" s="128"/>
      <c r="D35" s="128"/>
    </row>
    <row r="36" spans="1:4" ht="36.75" customHeight="1">
      <c r="A36" s="9" t="s">
        <v>67</v>
      </c>
      <c r="B36" s="22" t="s">
        <v>80</v>
      </c>
      <c r="C36" s="117">
        <v>1</v>
      </c>
      <c r="D36" s="118">
        <f>C36*B8*8</f>
        <v>13604.8</v>
      </c>
    </row>
    <row r="37" spans="1:4" ht="14.25" customHeight="1">
      <c r="A37" s="9" t="s">
        <v>68</v>
      </c>
      <c r="B37" s="22" t="s">
        <v>81</v>
      </c>
      <c r="C37" s="117"/>
      <c r="D37" s="119"/>
    </row>
    <row r="38" spans="1:4" ht="14.25" customHeight="1">
      <c r="A38" s="9" t="s">
        <v>69</v>
      </c>
      <c r="B38" s="22" t="s">
        <v>81</v>
      </c>
      <c r="C38" s="117"/>
      <c r="D38" s="119"/>
    </row>
    <row r="39" spans="1:4" ht="24" customHeight="1">
      <c r="A39" s="9" t="s">
        <v>70</v>
      </c>
      <c r="B39" s="22" t="s">
        <v>80</v>
      </c>
      <c r="C39" s="117"/>
      <c r="D39" s="119"/>
    </row>
    <row r="40" spans="1:4" ht="25.5" customHeight="1">
      <c r="A40" s="10" t="s">
        <v>71</v>
      </c>
      <c r="B40" s="22" t="s">
        <v>80</v>
      </c>
      <c r="C40" s="117"/>
      <c r="D40" s="119"/>
    </row>
    <row r="41" spans="1:4" ht="14.25" customHeight="1">
      <c r="A41" s="9" t="s">
        <v>72</v>
      </c>
      <c r="B41" s="22" t="s">
        <v>25</v>
      </c>
      <c r="C41" s="117"/>
      <c r="D41" s="120"/>
    </row>
    <row r="42" spans="1:4" ht="11.25" customHeight="1">
      <c r="A42" s="130" t="s">
        <v>30</v>
      </c>
      <c r="B42" s="130"/>
      <c r="C42" s="130"/>
      <c r="D42" s="130"/>
    </row>
    <row r="43" spans="1:4" ht="35.25" customHeight="1">
      <c r="A43" s="9" t="s">
        <v>31</v>
      </c>
      <c r="B43" s="22" t="s">
        <v>23</v>
      </c>
      <c r="C43" s="117">
        <v>0.7</v>
      </c>
      <c r="D43" s="118">
        <f>C43*8*B8</f>
        <v>9523.3599999999988</v>
      </c>
    </row>
    <row r="44" spans="1:4" ht="38.25" customHeight="1">
      <c r="A44" s="9" t="s">
        <v>32</v>
      </c>
      <c r="B44" s="22" t="s">
        <v>23</v>
      </c>
      <c r="C44" s="117"/>
      <c r="D44" s="118"/>
    </row>
    <row r="45" spans="1:4" ht="15" customHeight="1">
      <c r="A45" s="10" t="s">
        <v>33</v>
      </c>
      <c r="B45" s="22" t="s">
        <v>23</v>
      </c>
      <c r="C45" s="117"/>
      <c r="D45" s="118"/>
    </row>
    <row r="46" spans="1:4" ht="12.75" customHeight="1">
      <c r="A46" s="128" t="s">
        <v>34</v>
      </c>
      <c r="B46" s="128"/>
      <c r="C46" s="128"/>
      <c r="D46" s="128"/>
    </row>
    <row r="47" spans="1:4" ht="29.25" customHeight="1">
      <c r="A47" s="9" t="s">
        <v>35</v>
      </c>
      <c r="B47" s="22" t="s">
        <v>78</v>
      </c>
      <c r="C47" s="117">
        <v>3.34</v>
      </c>
      <c r="D47" s="117">
        <f>C47*8*B8-67.68</f>
        <v>45372.351999999999</v>
      </c>
    </row>
    <row r="48" spans="1:4" ht="14.25" customHeight="1">
      <c r="A48" s="9" t="s">
        <v>36</v>
      </c>
      <c r="B48" s="22" t="s">
        <v>82</v>
      </c>
      <c r="C48" s="117"/>
      <c r="D48" s="117"/>
    </row>
    <row r="49" spans="1:4" ht="17.25" customHeight="1">
      <c r="A49" s="9" t="s">
        <v>37</v>
      </c>
      <c r="B49" s="22" t="s">
        <v>82</v>
      </c>
      <c r="C49" s="117"/>
      <c r="D49" s="117"/>
    </row>
    <row r="50" spans="1:4" ht="24.75" customHeight="1">
      <c r="A50" s="9" t="s">
        <v>38</v>
      </c>
      <c r="B50" s="22" t="s">
        <v>83</v>
      </c>
      <c r="C50" s="117"/>
      <c r="D50" s="117"/>
    </row>
    <row r="51" spans="1:4" ht="30" customHeight="1">
      <c r="A51" s="9" t="s">
        <v>39</v>
      </c>
      <c r="B51" s="22" t="s">
        <v>83</v>
      </c>
      <c r="C51" s="117"/>
      <c r="D51" s="117"/>
    </row>
    <row r="52" spans="1:4" ht="12.75" customHeight="1">
      <c r="A52" s="99" t="s">
        <v>96</v>
      </c>
      <c r="B52" s="6"/>
      <c r="C52" s="117"/>
      <c r="D52" s="117"/>
    </row>
    <row r="53" spans="1:4" ht="35.25" customHeight="1">
      <c r="A53" s="9" t="s">
        <v>41</v>
      </c>
      <c r="B53" s="22" t="s">
        <v>80</v>
      </c>
      <c r="C53" s="117"/>
      <c r="D53" s="117"/>
    </row>
    <row r="54" spans="1:4" ht="14.25" customHeight="1">
      <c r="A54" s="9" t="s">
        <v>42</v>
      </c>
      <c r="B54" s="22" t="s">
        <v>81</v>
      </c>
      <c r="C54" s="117"/>
      <c r="D54" s="117"/>
    </row>
    <row r="55" spans="1:4" ht="14.25" customHeight="1">
      <c r="A55" s="9" t="s">
        <v>43</v>
      </c>
      <c r="B55" s="23" t="s">
        <v>81</v>
      </c>
      <c r="C55" s="117"/>
      <c r="D55" s="117"/>
    </row>
    <row r="56" spans="1:4" ht="13.5" customHeight="1">
      <c r="A56" s="9" t="s">
        <v>44</v>
      </c>
      <c r="B56" s="23" t="s">
        <v>81</v>
      </c>
      <c r="C56" s="117"/>
      <c r="D56" s="117"/>
    </row>
    <row r="57" spans="1:4" ht="13.5" customHeight="1">
      <c r="A57" s="9" t="s">
        <v>45</v>
      </c>
      <c r="B57" s="21" t="s">
        <v>306</v>
      </c>
      <c r="C57" s="117"/>
      <c r="D57" s="117"/>
    </row>
    <row r="58" spans="1:4" ht="36.75" customHeight="1">
      <c r="A58" s="10" t="s">
        <v>46</v>
      </c>
      <c r="B58" s="22" t="s">
        <v>23</v>
      </c>
      <c r="C58" s="117"/>
      <c r="D58" s="117"/>
    </row>
    <row r="59" spans="1:4">
      <c r="A59" s="128" t="s">
        <v>47</v>
      </c>
      <c r="B59" s="128"/>
      <c r="C59" s="128"/>
      <c r="D59" s="128"/>
    </row>
    <row r="60" spans="1:4" ht="15.75" customHeight="1">
      <c r="A60" s="9" t="s">
        <v>48</v>
      </c>
      <c r="B60" s="22" t="s">
        <v>84</v>
      </c>
      <c r="C60" s="129">
        <v>1.75</v>
      </c>
      <c r="D60" s="125">
        <f>C60*B8*8</f>
        <v>23808.399999999998</v>
      </c>
    </row>
    <row r="61" spans="1:4" ht="12.75" customHeight="1">
      <c r="A61" s="9" t="s">
        <v>49</v>
      </c>
      <c r="B61" s="22" t="s">
        <v>84</v>
      </c>
      <c r="C61" s="119"/>
      <c r="D61" s="126"/>
    </row>
    <row r="62" spans="1:4" ht="15.75" customHeight="1">
      <c r="A62" s="9" t="s">
        <v>50</v>
      </c>
      <c r="B62" s="22" t="s">
        <v>84</v>
      </c>
      <c r="C62" s="119"/>
      <c r="D62" s="126"/>
    </row>
    <row r="63" spans="1:4" ht="16.5" customHeight="1">
      <c r="A63" s="9" t="s">
        <v>51</v>
      </c>
      <c r="B63" s="22" t="s">
        <v>84</v>
      </c>
      <c r="C63" s="119"/>
      <c r="D63" s="126"/>
    </row>
    <row r="64" spans="1:4" ht="36.75" customHeight="1">
      <c r="A64" s="10" t="s">
        <v>52</v>
      </c>
      <c r="B64" s="22" t="s">
        <v>23</v>
      </c>
      <c r="C64" s="119"/>
      <c r="D64" s="126"/>
    </row>
    <row r="65" spans="1:4" ht="16.5" customHeight="1">
      <c r="A65" s="10" t="s">
        <v>53</v>
      </c>
      <c r="B65" s="23" t="s">
        <v>85</v>
      </c>
      <c r="C65" s="120"/>
      <c r="D65" s="127"/>
    </row>
    <row r="66" spans="1:4">
      <c r="A66" s="121" t="s">
        <v>86</v>
      </c>
      <c r="B66" s="122"/>
      <c r="C66" s="122"/>
      <c r="D66" s="123"/>
    </row>
    <row r="67" spans="1:4" ht="26.25" customHeight="1">
      <c r="A67" s="139" t="s">
        <v>97</v>
      </c>
      <c r="B67" s="141" t="s">
        <v>87</v>
      </c>
      <c r="C67" s="118">
        <v>2.41</v>
      </c>
      <c r="D67" s="117">
        <f>C67*B8*8</f>
        <v>32787.567999999999</v>
      </c>
    </row>
    <row r="68" spans="1:4" ht="3.75" customHeight="1">
      <c r="A68" s="140"/>
      <c r="B68" s="141"/>
      <c r="C68" s="118"/>
      <c r="D68" s="117"/>
    </row>
    <row r="69" spans="1:4" ht="15" customHeight="1">
      <c r="A69" s="121" t="s">
        <v>56</v>
      </c>
      <c r="B69" s="122"/>
      <c r="C69" s="122"/>
      <c r="D69" s="123"/>
    </row>
    <row r="70" spans="1:4" ht="16.5" customHeight="1">
      <c r="A70" s="6" t="s">
        <v>91</v>
      </c>
      <c r="B70" s="21" t="s">
        <v>88</v>
      </c>
      <c r="C70" s="131">
        <v>2.14</v>
      </c>
      <c r="D70" s="133">
        <v>29096.33</v>
      </c>
    </row>
    <row r="71" spans="1:4">
      <c r="A71" s="6" t="s">
        <v>92</v>
      </c>
      <c r="B71" s="21" t="s">
        <v>88</v>
      </c>
      <c r="C71" s="132"/>
      <c r="D71" s="134"/>
    </row>
    <row r="72" spans="1:4" ht="15" customHeight="1">
      <c r="A72" s="6" t="s">
        <v>93</v>
      </c>
      <c r="B72" s="21" t="s">
        <v>88</v>
      </c>
      <c r="C72" s="130"/>
      <c r="D72" s="135"/>
    </row>
    <row r="73" spans="1:4" ht="38.25" customHeight="1">
      <c r="A73" s="6" t="s">
        <v>165</v>
      </c>
      <c r="B73" s="22" t="s">
        <v>23</v>
      </c>
      <c r="C73" s="101">
        <v>4.3499999999999996</v>
      </c>
      <c r="D73" s="101">
        <v>59145.22</v>
      </c>
    </row>
    <row r="74" spans="1:4">
      <c r="A74" s="99" t="s">
        <v>57</v>
      </c>
      <c r="B74" s="23"/>
      <c r="C74" s="28">
        <f>C73+C70+C67+C60+C47+C43+C36+C29+C25+C18+C16+C14+C13</f>
        <v>21.615638010114075</v>
      </c>
      <c r="D74" s="57">
        <f>D73+D70+D67+D60+D47+D43+D36+D29+D25+D18+D16+D14+D13</f>
        <v>293955.14999999997</v>
      </c>
    </row>
    <row r="75" spans="1:4">
      <c r="C75" t="s">
        <v>284</v>
      </c>
    </row>
    <row r="76" spans="1:4">
      <c r="D76" s="42"/>
    </row>
    <row r="77" spans="1:4">
      <c r="D77" s="42"/>
    </row>
    <row r="78" spans="1:4">
      <c r="D78" s="42"/>
    </row>
    <row r="79" spans="1:4">
      <c r="D79" s="42"/>
    </row>
  </sheetData>
  <mergeCells count="30">
    <mergeCell ref="C36:C41"/>
    <mergeCell ref="D36:D41"/>
    <mergeCell ref="A12:D12"/>
    <mergeCell ref="C18:C23"/>
    <mergeCell ref="D18:D23"/>
    <mergeCell ref="A24:D24"/>
    <mergeCell ref="C25:C26"/>
    <mergeCell ref="D25:D26"/>
    <mergeCell ref="A27:D27"/>
    <mergeCell ref="A28:D28"/>
    <mergeCell ref="C29:C34"/>
    <mergeCell ref="D29:D34"/>
    <mergeCell ref="A35:D35"/>
    <mergeCell ref="A42:D42"/>
    <mergeCell ref="C43:C45"/>
    <mergeCell ref="D43:D45"/>
    <mergeCell ref="A46:D46"/>
    <mergeCell ref="C47:C58"/>
    <mergeCell ref="D47:D58"/>
    <mergeCell ref="A69:D69"/>
    <mergeCell ref="C70:C72"/>
    <mergeCell ref="D70:D72"/>
    <mergeCell ref="A59:D59"/>
    <mergeCell ref="A67:A68"/>
    <mergeCell ref="B67:B68"/>
    <mergeCell ref="C67:C68"/>
    <mergeCell ref="D67:D68"/>
    <mergeCell ref="A66:D66"/>
    <mergeCell ref="C60:C65"/>
    <mergeCell ref="D60:D6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82"/>
  <sheetViews>
    <sheetView topLeftCell="A61" workbookViewId="0">
      <selection activeCell="A81" sqref="A81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300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1987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1</v>
      </c>
      <c r="C6" s="2"/>
      <c r="D6" s="2"/>
    </row>
    <row r="7" spans="1:4">
      <c r="A7" s="25" t="s">
        <v>62</v>
      </c>
      <c r="B7" s="2">
        <v>31</v>
      </c>
      <c r="C7" s="2"/>
      <c r="D7" s="2"/>
    </row>
    <row r="8" spans="1:4">
      <c r="A8" s="25" t="s">
        <v>73</v>
      </c>
      <c r="B8" s="2">
        <v>1592.8</v>
      </c>
      <c r="C8" s="2"/>
      <c r="D8" s="2"/>
    </row>
    <row r="9" spans="1:4">
      <c r="A9" s="25" t="s">
        <v>63</v>
      </c>
      <c r="B9" s="2">
        <v>210.4</v>
      </c>
      <c r="C9" s="2"/>
      <c r="D9" s="2"/>
    </row>
    <row r="10" spans="1:4">
      <c r="A10" s="25" t="s">
        <v>74</v>
      </c>
      <c r="B10" s="48">
        <v>512.29999999999995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1783.9360000000001</v>
      </c>
    </row>
    <row r="14" spans="1:4" ht="75.75" customHeight="1">
      <c r="A14" s="6" t="s">
        <v>90</v>
      </c>
      <c r="B14" s="103" t="s">
        <v>9</v>
      </c>
      <c r="C14" s="26">
        <v>1.7</v>
      </c>
      <c r="D14" s="29">
        <f>C14*8*B8</f>
        <v>21662.079999999998</v>
      </c>
    </row>
    <row r="15" spans="1:4">
      <c r="A15" s="6" t="s">
        <v>10</v>
      </c>
      <c r="B15" s="103"/>
      <c r="C15" s="26"/>
      <c r="D15" s="30"/>
    </row>
    <row r="16" spans="1:4">
      <c r="A16" s="6" t="s">
        <v>302</v>
      </c>
      <c r="B16" s="103" t="s">
        <v>140</v>
      </c>
      <c r="C16" s="26">
        <v>0.27</v>
      </c>
      <c r="D16" s="30">
        <f>C16*8*B8</f>
        <v>3440.4480000000003</v>
      </c>
    </row>
    <row r="17" spans="1:4">
      <c r="A17" s="6" t="s">
        <v>269</v>
      </c>
      <c r="B17" s="103" t="s">
        <v>89</v>
      </c>
      <c r="C17" s="26">
        <v>0.27</v>
      </c>
      <c r="D17" s="30">
        <f>C17*8*B8</f>
        <v>3440.4480000000003</v>
      </c>
    </row>
    <row r="18" spans="1:4">
      <c r="A18" s="6" t="s">
        <v>303</v>
      </c>
      <c r="B18" s="103" t="s">
        <v>89</v>
      </c>
      <c r="C18" s="46">
        <f>11224.5/8/B8</f>
        <v>0.88087801356102469</v>
      </c>
      <c r="D18" s="30">
        <f>C18*8*B8</f>
        <v>11224.5</v>
      </c>
    </row>
    <row r="19" spans="1:4" ht="13.5" customHeight="1">
      <c r="A19" s="41" t="s">
        <v>98</v>
      </c>
      <c r="B19" s="99"/>
      <c r="C19" s="99"/>
      <c r="D19" s="99"/>
    </row>
    <row r="20" spans="1:4" ht="13.5" customHeight="1">
      <c r="A20" s="6" t="s">
        <v>12</v>
      </c>
      <c r="B20" s="103" t="s">
        <v>76</v>
      </c>
      <c r="C20" s="118">
        <v>2.16</v>
      </c>
      <c r="D20" s="125">
        <f>C20*B8*8</f>
        <v>27523.584000000003</v>
      </c>
    </row>
    <row r="21" spans="1:4" ht="12.75" customHeight="1">
      <c r="A21" s="6" t="s">
        <v>13</v>
      </c>
      <c r="B21" s="103" t="s">
        <v>76</v>
      </c>
      <c r="C21" s="118"/>
      <c r="D21" s="126"/>
    </row>
    <row r="22" spans="1:4" ht="14.25" customHeight="1">
      <c r="A22" s="6" t="s">
        <v>14</v>
      </c>
      <c r="B22" s="103" t="s">
        <v>76</v>
      </c>
      <c r="C22" s="118"/>
      <c r="D22" s="126"/>
    </row>
    <row r="23" spans="1:4" ht="13.5" customHeight="1">
      <c r="A23" s="6" t="s">
        <v>15</v>
      </c>
      <c r="B23" s="103" t="s">
        <v>77</v>
      </c>
      <c r="C23" s="118"/>
      <c r="D23" s="126"/>
    </row>
    <row r="24" spans="1:4" ht="12.75" customHeight="1">
      <c r="A24" s="41" t="s">
        <v>94</v>
      </c>
      <c r="B24" s="103"/>
      <c r="C24" s="118"/>
      <c r="D24" s="126"/>
    </row>
    <row r="25" spans="1:4" ht="30" customHeight="1">
      <c r="A25" s="6" t="s">
        <v>16</v>
      </c>
      <c r="B25" s="103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C27*B8*8</f>
        <v>2548.48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0.61</v>
      </c>
      <c r="D31" s="117">
        <f>C31*B8*8</f>
        <v>7772.8639999999996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1</v>
      </c>
      <c r="D38" s="118">
        <f>C38*B8*8</f>
        <v>12742.4</v>
      </c>
    </row>
    <row r="39" spans="1:4" ht="14.25" customHeight="1">
      <c r="A39" s="9" t="s">
        <v>68</v>
      </c>
      <c r="B39" s="22" t="s">
        <v>81</v>
      </c>
      <c r="C39" s="117"/>
      <c r="D39" s="119"/>
    </row>
    <row r="40" spans="1:4" ht="14.25" customHeight="1">
      <c r="A40" s="9" t="s">
        <v>69</v>
      </c>
      <c r="B40" s="22" t="s">
        <v>81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25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0.7</v>
      </c>
      <c r="D45" s="118">
        <f>C45*8*B8</f>
        <v>8919.6799999999985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3.62</v>
      </c>
      <c r="D49" s="117">
        <f>C49*8*B8-2816.14</f>
        <v>43311.347999999998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99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81</v>
      </c>
      <c r="C56" s="117"/>
      <c r="D56" s="117"/>
    </row>
    <row r="57" spans="1:4" ht="14.25" customHeight="1">
      <c r="A57" s="9" t="s">
        <v>43</v>
      </c>
      <c r="B57" s="23" t="s">
        <v>81</v>
      </c>
      <c r="C57" s="117"/>
      <c r="D57" s="117"/>
    </row>
    <row r="58" spans="1:4" ht="13.5" customHeight="1">
      <c r="A58" s="9" t="s">
        <v>44</v>
      </c>
      <c r="B58" s="23" t="s">
        <v>81</v>
      </c>
      <c r="C58" s="117"/>
      <c r="D58" s="117"/>
    </row>
    <row r="59" spans="1:4" ht="13.5" customHeight="1">
      <c r="A59" s="9" t="s">
        <v>45</v>
      </c>
      <c r="B59" s="21" t="s">
        <v>298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>
      <c r="A61" s="128" t="s">
        <v>47</v>
      </c>
      <c r="B61" s="128"/>
      <c r="C61" s="128"/>
      <c r="D61" s="128"/>
    </row>
    <row r="62" spans="1:4" ht="15.75" customHeight="1">
      <c r="A62" s="9" t="s">
        <v>48</v>
      </c>
      <c r="B62" s="22" t="s">
        <v>84</v>
      </c>
      <c r="C62" s="129">
        <v>1.17</v>
      </c>
      <c r="D62" s="125">
        <f>C62*B8*8</f>
        <v>14908.607999999998</v>
      </c>
    </row>
    <row r="63" spans="1:4" ht="12.75" customHeight="1">
      <c r="A63" s="9" t="s">
        <v>49</v>
      </c>
      <c r="B63" s="22" t="s">
        <v>84</v>
      </c>
      <c r="C63" s="119"/>
      <c r="D63" s="126"/>
    </row>
    <row r="64" spans="1:4" ht="15.75" customHeight="1">
      <c r="A64" s="9" t="s">
        <v>50</v>
      </c>
      <c r="B64" s="22" t="s">
        <v>84</v>
      </c>
      <c r="C64" s="119"/>
      <c r="D64" s="126"/>
    </row>
    <row r="65" spans="1:4" ht="16.5" customHeight="1">
      <c r="A65" s="9" t="s">
        <v>51</v>
      </c>
      <c r="B65" s="22" t="s">
        <v>84</v>
      </c>
      <c r="C65" s="119"/>
      <c r="D65" s="126"/>
    </row>
    <row r="66" spans="1:4" ht="36.75" customHeight="1">
      <c r="A66" s="10" t="s">
        <v>52</v>
      </c>
      <c r="B66" s="22" t="s">
        <v>23</v>
      </c>
      <c r="C66" s="119"/>
      <c r="D66" s="126"/>
    </row>
    <row r="67" spans="1:4" ht="16.5" customHeight="1">
      <c r="A67" s="10" t="s">
        <v>53</v>
      </c>
      <c r="B67" s="23" t="s">
        <v>85</v>
      </c>
      <c r="C67" s="120"/>
      <c r="D67" s="127"/>
    </row>
    <row r="68" spans="1:4">
      <c r="A68" s="121" t="s">
        <v>86</v>
      </c>
      <c r="B68" s="122"/>
      <c r="C68" s="122"/>
      <c r="D68" s="123"/>
    </row>
    <row r="69" spans="1:4" ht="26.25" customHeight="1">
      <c r="A69" s="139" t="s">
        <v>97</v>
      </c>
      <c r="B69" s="141" t="s">
        <v>87</v>
      </c>
      <c r="C69" s="118">
        <v>2.41</v>
      </c>
      <c r="D69" s="117">
        <f>C69*B8*8</f>
        <v>30709.184000000001</v>
      </c>
    </row>
    <row r="70" spans="1:4" ht="3.75" customHeight="1">
      <c r="A70" s="140"/>
      <c r="B70" s="141"/>
      <c r="C70" s="118"/>
      <c r="D70" s="117"/>
    </row>
    <row r="71" spans="1:4" ht="15" customHeight="1">
      <c r="A71" s="121" t="s">
        <v>56</v>
      </c>
      <c r="B71" s="122"/>
      <c r="C71" s="122"/>
      <c r="D71" s="123"/>
    </row>
    <row r="72" spans="1:4" ht="16.5" customHeight="1">
      <c r="A72" s="6" t="s">
        <v>91</v>
      </c>
      <c r="B72" s="21" t="s">
        <v>88</v>
      </c>
      <c r="C72" s="131">
        <v>2.14</v>
      </c>
      <c r="D72" s="133">
        <v>26871.96</v>
      </c>
    </row>
    <row r="73" spans="1:4">
      <c r="A73" s="6" t="s">
        <v>92</v>
      </c>
      <c r="B73" s="21" t="s">
        <v>88</v>
      </c>
      <c r="C73" s="132"/>
      <c r="D73" s="134"/>
    </row>
    <row r="74" spans="1:4" ht="15" customHeight="1">
      <c r="A74" s="6" t="s">
        <v>93</v>
      </c>
      <c r="B74" s="21" t="s">
        <v>88</v>
      </c>
      <c r="C74" s="130"/>
      <c r="D74" s="135"/>
    </row>
    <row r="75" spans="1:4" ht="38.25" customHeight="1">
      <c r="A75" s="6" t="s">
        <v>165</v>
      </c>
      <c r="B75" s="22" t="s">
        <v>23</v>
      </c>
      <c r="C75" s="101">
        <v>4.3499999999999996</v>
      </c>
      <c r="D75" s="101">
        <v>53259.39</v>
      </c>
    </row>
    <row r="76" spans="1:4" ht="18" customHeight="1">
      <c r="A76" s="6" t="s">
        <v>304</v>
      </c>
      <c r="B76" s="22"/>
      <c r="C76" s="101"/>
      <c r="D76" s="101">
        <v>-6354.6</v>
      </c>
    </row>
    <row r="77" spans="1:4">
      <c r="A77" s="99" t="s">
        <v>57</v>
      </c>
      <c r="B77" s="23"/>
      <c r="C77" s="28">
        <f>C75+C72+C69+C62+C49+C45+C38+C31+C27+C20+C18+C17+C16+C14+C13</f>
        <v>21.620878013561022</v>
      </c>
      <c r="D77" s="57">
        <f>D75+D76+D72+D69+D62+D49+D45+D38+D31+D27+D20+D18+D17+D16+D14+D13</f>
        <v>263764.31</v>
      </c>
    </row>
    <row r="78" spans="1:4">
      <c r="C78" t="s">
        <v>284</v>
      </c>
    </row>
    <row r="79" spans="1:4">
      <c r="D79" s="42"/>
    </row>
    <row r="80" spans="1:4">
      <c r="D80" s="42"/>
    </row>
    <row r="81" spans="4:4">
      <c r="D81" s="42"/>
    </row>
    <row r="82" spans="4:4">
      <c r="D82" s="42"/>
    </row>
  </sheetData>
  <mergeCells count="30">
    <mergeCell ref="C38:C43"/>
    <mergeCell ref="D38:D43"/>
    <mergeCell ref="A12:D12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  <mergeCell ref="A44:D44"/>
    <mergeCell ref="C45:C47"/>
    <mergeCell ref="D45:D47"/>
    <mergeCell ref="A48:D48"/>
    <mergeCell ref="C49:C60"/>
    <mergeCell ref="D49:D60"/>
    <mergeCell ref="A71:D71"/>
    <mergeCell ref="C72:C74"/>
    <mergeCell ref="D72:D74"/>
    <mergeCell ref="A61:D61"/>
    <mergeCell ref="A69:A70"/>
    <mergeCell ref="B69:B70"/>
    <mergeCell ref="C69:C70"/>
    <mergeCell ref="D69:D70"/>
    <mergeCell ref="A68:D68"/>
    <mergeCell ref="C62:C67"/>
    <mergeCell ref="D62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84"/>
  <sheetViews>
    <sheetView topLeftCell="A55" workbookViewId="0">
      <selection activeCell="A85" sqref="A85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294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1982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6</v>
      </c>
      <c r="C6" s="2"/>
      <c r="D6" s="2"/>
    </row>
    <row r="7" spans="1:4">
      <c r="A7" s="25" t="s">
        <v>62</v>
      </c>
      <c r="B7" s="2">
        <v>72</v>
      </c>
      <c r="C7" s="2"/>
      <c r="D7" s="2"/>
    </row>
    <row r="8" spans="1:4">
      <c r="A8" s="25" t="s">
        <v>73</v>
      </c>
      <c r="B8" s="2">
        <v>3456</v>
      </c>
      <c r="C8" s="2"/>
      <c r="D8" s="2"/>
    </row>
    <row r="9" spans="1:4">
      <c r="A9" s="25" t="s">
        <v>63</v>
      </c>
      <c r="B9" s="2">
        <v>355</v>
      </c>
      <c r="C9" s="2"/>
      <c r="D9" s="2"/>
    </row>
    <row r="10" spans="1:4">
      <c r="A10" s="25" t="s">
        <v>74</v>
      </c>
      <c r="B10" s="48">
        <v>897.6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3870.7200000000003</v>
      </c>
    </row>
    <row r="14" spans="1:4" ht="75.75" customHeight="1">
      <c r="A14" s="6" t="s">
        <v>90</v>
      </c>
      <c r="B14" s="103" t="s">
        <v>9</v>
      </c>
      <c r="C14" s="26">
        <v>1.51</v>
      </c>
      <c r="D14" s="29">
        <f>C14*8*B8</f>
        <v>41748.480000000003</v>
      </c>
    </row>
    <row r="15" spans="1:4">
      <c r="A15" s="6" t="s">
        <v>10</v>
      </c>
      <c r="B15" s="103"/>
      <c r="C15" s="26"/>
      <c r="D15" s="30"/>
    </row>
    <row r="16" spans="1:4">
      <c r="A16" s="6" t="s">
        <v>301</v>
      </c>
      <c r="B16" s="103" t="s">
        <v>140</v>
      </c>
      <c r="C16" s="26">
        <v>0.27</v>
      </c>
      <c r="D16" s="30">
        <f>C16*8*B8</f>
        <v>7464.9600000000009</v>
      </c>
    </row>
    <row r="17" spans="1:4">
      <c r="A17" s="6" t="s">
        <v>269</v>
      </c>
      <c r="B17" s="103" t="s">
        <v>89</v>
      </c>
      <c r="C17" s="26">
        <v>0.27</v>
      </c>
      <c r="D17" s="30">
        <f>C17*8*B8</f>
        <v>7464.9600000000009</v>
      </c>
    </row>
    <row r="18" spans="1:4">
      <c r="A18" s="6" t="s">
        <v>297</v>
      </c>
      <c r="B18" s="103" t="s">
        <v>89</v>
      </c>
      <c r="C18" s="46">
        <f>14966/8/B8</f>
        <v>0.54130497685185186</v>
      </c>
      <c r="D18" s="30">
        <f>C18*8*B8</f>
        <v>14966</v>
      </c>
    </row>
    <row r="19" spans="1:4" ht="13.5" customHeight="1">
      <c r="A19" s="41" t="s">
        <v>98</v>
      </c>
      <c r="B19" s="99"/>
      <c r="C19" s="99"/>
      <c r="D19" s="99"/>
    </row>
    <row r="20" spans="1:4" ht="13.5" customHeight="1">
      <c r="A20" s="6" t="s">
        <v>12</v>
      </c>
      <c r="B20" s="103" t="s">
        <v>76</v>
      </c>
      <c r="C20" s="118">
        <v>2.16</v>
      </c>
      <c r="D20" s="125">
        <f>C20*B8*8</f>
        <v>59719.680000000008</v>
      </c>
    </row>
    <row r="21" spans="1:4" ht="12.75" customHeight="1">
      <c r="A21" s="6" t="s">
        <v>13</v>
      </c>
      <c r="B21" s="103" t="s">
        <v>76</v>
      </c>
      <c r="C21" s="118"/>
      <c r="D21" s="126"/>
    </row>
    <row r="22" spans="1:4" ht="14.25" customHeight="1">
      <c r="A22" s="6" t="s">
        <v>14</v>
      </c>
      <c r="B22" s="103" t="s">
        <v>76</v>
      </c>
      <c r="C22" s="118"/>
      <c r="D22" s="126"/>
    </row>
    <row r="23" spans="1:4" ht="13.5" customHeight="1">
      <c r="A23" s="6" t="s">
        <v>15</v>
      </c>
      <c r="B23" s="103" t="s">
        <v>77</v>
      </c>
      <c r="C23" s="118"/>
      <c r="D23" s="126"/>
    </row>
    <row r="24" spans="1:4" ht="12.75" customHeight="1">
      <c r="A24" s="41" t="s">
        <v>94</v>
      </c>
      <c r="B24" s="103"/>
      <c r="C24" s="118"/>
      <c r="D24" s="126"/>
    </row>
    <row r="25" spans="1:4" ht="30" customHeight="1">
      <c r="A25" s="6" t="s">
        <v>16</v>
      </c>
      <c r="B25" s="103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C27*B8*8</f>
        <v>5529.6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0.61</v>
      </c>
      <c r="D31" s="117">
        <f>C31*B8*8</f>
        <v>16865.28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1</v>
      </c>
      <c r="D38" s="118">
        <f>C38*B8*8</f>
        <v>27648</v>
      </c>
    </row>
    <row r="39" spans="1:4" ht="14.25" customHeight="1">
      <c r="A39" s="9" t="s">
        <v>68</v>
      </c>
      <c r="B39" s="22" t="s">
        <v>81</v>
      </c>
      <c r="C39" s="117"/>
      <c r="D39" s="119"/>
    </row>
    <row r="40" spans="1:4" ht="14.25" customHeight="1">
      <c r="A40" s="9" t="s">
        <v>69</v>
      </c>
      <c r="B40" s="22" t="s">
        <v>81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25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0.7</v>
      </c>
      <c r="D45" s="118">
        <f>C45*8*B8</f>
        <v>19353.599999999999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3.62</v>
      </c>
      <c r="D49" s="117">
        <f>C49*8*B8+300.16</f>
        <v>100385.92000000001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99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81</v>
      </c>
      <c r="C56" s="117"/>
      <c r="D56" s="117"/>
    </row>
    <row r="57" spans="1:4" ht="14.25" customHeight="1">
      <c r="A57" s="9" t="s">
        <v>43</v>
      </c>
      <c r="B57" s="23" t="s">
        <v>81</v>
      </c>
      <c r="C57" s="117"/>
      <c r="D57" s="117"/>
    </row>
    <row r="58" spans="1:4" ht="13.5" customHeight="1">
      <c r="A58" s="9" t="s">
        <v>44</v>
      </c>
      <c r="B58" s="23" t="s">
        <v>81</v>
      </c>
      <c r="C58" s="117"/>
      <c r="D58" s="117"/>
    </row>
    <row r="59" spans="1:4" ht="13.5" customHeight="1">
      <c r="A59" s="9" t="s">
        <v>45</v>
      </c>
      <c r="B59" s="21" t="s">
        <v>298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>
      <c r="A61" s="128" t="s">
        <v>47</v>
      </c>
      <c r="B61" s="128"/>
      <c r="C61" s="128"/>
      <c r="D61" s="128"/>
    </row>
    <row r="62" spans="1:4" ht="15.75" customHeight="1">
      <c r="A62" s="9" t="s">
        <v>48</v>
      </c>
      <c r="B62" s="22" t="s">
        <v>84</v>
      </c>
      <c r="C62" s="129">
        <v>1.17</v>
      </c>
      <c r="D62" s="136">
        <f>C62*B8*8</f>
        <v>32348.159999999996</v>
      </c>
    </row>
    <row r="63" spans="1:4" ht="12.75" customHeight="1">
      <c r="A63" s="9" t="s">
        <v>49</v>
      </c>
      <c r="B63" s="22" t="s">
        <v>84</v>
      </c>
      <c r="C63" s="119"/>
      <c r="D63" s="137"/>
    </row>
    <row r="64" spans="1:4" ht="29.25" customHeight="1">
      <c r="A64" s="9" t="s">
        <v>50</v>
      </c>
      <c r="B64" s="22" t="s">
        <v>84</v>
      </c>
      <c r="C64" s="119"/>
      <c r="D64" s="137"/>
    </row>
    <row r="65" spans="1:4" ht="16.5" customHeight="1">
      <c r="A65" s="9" t="s">
        <v>51</v>
      </c>
      <c r="B65" s="22" t="s">
        <v>84</v>
      </c>
      <c r="C65" s="119"/>
      <c r="D65" s="137"/>
    </row>
    <row r="66" spans="1:4" ht="36.75" customHeight="1">
      <c r="A66" s="10" t="s">
        <v>52</v>
      </c>
      <c r="B66" s="22" t="s">
        <v>23</v>
      </c>
      <c r="C66" s="119"/>
      <c r="D66" s="137"/>
    </row>
    <row r="67" spans="1:4" ht="16.5" customHeight="1">
      <c r="A67" s="10" t="s">
        <v>53</v>
      </c>
      <c r="B67" s="23" t="s">
        <v>85</v>
      </c>
      <c r="C67" s="119"/>
      <c r="D67" s="137"/>
    </row>
    <row r="68" spans="1:4" ht="16.5" customHeight="1">
      <c r="A68" s="56" t="s">
        <v>124</v>
      </c>
      <c r="B68" s="23" t="s">
        <v>125</v>
      </c>
      <c r="C68" s="120"/>
      <c r="D68" s="138"/>
    </row>
    <row r="69" spans="1:4" ht="16.5" customHeight="1">
      <c r="A69" s="56" t="s">
        <v>124</v>
      </c>
      <c r="B69" s="23" t="s">
        <v>125</v>
      </c>
      <c r="C69" s="97">
        <v>0.53</v>
      </c>
      <c r="D69" s="102">
        <v>14658.36</v>
      </c>
    </row>
    <row r="70" spans="1:4">
      <c r="A70" s="121" t="s">
        <v>86</v>
      </c>
      <c r="B70" s="122"/>
      <c r="C70" s="122"/>
      <c r="D70" s="123"/>
    </row>
    <row r="71" spans="1:4" ht="26.25" customHeight="1">
      <c r="A71" s="139" t="s">
        <v>97</v>
      </c>
      <c r="B71" s="141" t="s">
        <v>87</v>
      </c>
      <c r="C71" s="118">
        <v>2.41</v>
      </c>
      <c r="D71" s="117">
        <f>C71*B8*8</f>
        <v>66631.680000000008</v>
      </c>
    </row>
    <row r="72" spans="1:4" ht="3.75" customHeight="1">
      <c r="A72" s="140"/>
      <c r="B72" s="141"/>
      <c r="C72" s="118"/>
      <c r="D72" s="117"/>
    </row>
    <row r="73" spans="1:4" ht="15" customHeight="1">
      <c r="A73" s="121" t="s">
        <v>56</v>
      </c>
      <c r="B73" s="122"/>
      <c r="C73" s="122"/>
      <c r="D73" s="123"/>
    </row>
    <row r="74" spans="1:4" ht="16.5" customHeight="1">
      <c r="A74" s="6" t="s">
        <v>91</v>
      </c>
      <c r="B74" s="21" t="s">
        <v>88</v>
      </c>
      <c r="C74" s="131">
        <v>2.14</v>
      </c>
      <c r="D74" s="133">
        <v>59185.85</v>
      </c>
    </row>
    <row r="75" spans="1:4">
      <c r="A75" s="6" t="s">
        <v>92</v>
      </c>
      <c r="B75" s="21" t="s">
        <v>88</v>
      </c>
      <c r="C75" s="132"/>
      <c r="D75" s="134"/>
    </row>
    <row r="76" spans="1:4" ht="15" customHeight="1">
      <c r="A76" s="6" t="s">
        <v>93</v>
      </c>
      <c r="B76" s="21" t="s">
        <v>88</v>
      </c>
      <c r="C76" s="130"/>
      <c r="D76" s="135"/>
    </row>
    <row r="77" spans="1:4" ht="38.25" customHeight="1">
      <c r="A77" s="6" t="s">
        <v>165</v>
      </c>
      <c r="B77" s="22" t="s">
        <v>23</v>
      </c>
      <c r="C77" s="101">
        <v>4.3499999999999996</v>
      </c>
      <c r="D77" s="101">
        <v>118603.36</v>
      </c>
    </row>
    <row r="78" spans="1:4" ht="18" customHeight="1">
      <c r="A78" s="6" t="s">
        <v>299</v>
      </c>
      <c r="B78" s="22"/>
      <c r="C78" s="101"/>
      <c r="D78" s="101">
        <f>-49*8*15.13</f>
        <v>-5930.96</v>
      </c>
    </row>
    <row r="79" spans="1:4">
      <c r="A79" s="99" t="s">
        <v>57</v>
      </c>
      <c r="B79" s="23"/>
      <c r="C79" s="28">
        <f>C77+C74+C71+C69+C62+C49+C45+C38+C31+C27+C20+C18+C17+C16+C14+C13</f>
        <v>21.621304976851849</v>
      </c>
      <c r="D79" s="57">
        <f>D78+D77+D74+D71+D69+D62+D49+D45+D38+D31+D27+D20+D18+D17+D16+D14+D13</f>
        <v>590513.64999999991</v>
      </c>
    </row>
    <row r="80" spans="1:4">
      <c r="C80" t="s">
        <v>284</v>
      </c>
    </row>
    <row r="81" spans="4:4">
      <c r="D81" s="42"/>
    </row>
    <row r="82" spans="4:4">
      <c r="D82" s="42"/>
    </row>
    <row r="83" spans="4:4">
      <c r="D83" s="42"/>
    </row>
    <row r="84" spans="4:4">
      <c r="D84" s="42"/>
    </row>
  </sheetData>
  <mergeCells count="30">
    <mergeCell ref="C38:C43"/>
    <mergeCell ref="D38:D43"/>
    <mergeCell ref="A12:D12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  <mergeCell ref="A44:D44"/>
    <mergeCell ref="C45:C47"/>
    <mergeCell ref="D45:D47"/>
    <mergeCell ref="A48:D48"/>
    <mergeCell ref="C49:C60"/>
    <mergeCell ref="D49:D60"/>
    <mergeCell ref="A61:D61"/>
    <mergeCell ref="A71:A72"/>
    <mergeCell ref="B71:B72"/>
    <mergeCell ref="C71:C72"/>
    <mergeCell ref="D71:D72"/>
    <mergeCell ref="A70:D70"/>
    <mergeCell ref="A73:D73"/>
    <mergeCell ref="C74:C76"/>
    <mergeCell ref="D74:D76"/>
    <mergeCell ref="C62:C68"/>
    <mergeCell ref="D62:D6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82"/>
  <sheetViews>
    <sheetView topLeftCell="A58" workbookViewId="0">
      <selection activeCell="B18" sqref="B1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292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2011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24</v>
      </c>
      <c r="C7" s="2"/>
      <c r="D7" s="2"/>
    </row>
    <row r="8" spans="1:4">
      <c r="A8" s="25" t="s">
        <v>73</v>
      </c>
      <c r="B8" s="2">
        <v>842.7</v>
      </c>
      <c r="C8" s="2"/>
      <c r="D8" s="2"/>
    </row>
    <row r="9" spans="1:4">
      <c r="A9" s="25" t="s">
        <v>63</v>
      </c>
      <c r="B9" s="2">
        <v>191.5</v>
      </c>
      <c r="C9" s="2"/>
      <c r="D9" s="2"/>
    </row>
    <row r="10" spans="1:4">
      <c r="A10" s="25" t="s">
        <v>74</v>
      </c>
      <c r="B10" s="48" t="s">
        <v>101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943.82400000000018</v>
      </c>
    </row>
    <row r="14" spans="1:4" ht="75.75" customHeight="1">
      <c r="A14" s="6" t="s">
        <v>90</v>
      </c>
      <c r="B14" s="103" t="s">
        <v>9</v>
      </c>
      <c r="C14" s="26">
        <v>2.34</v>
      </c>
      <c r="D14" s="29">
        <f>C14*8*B8</f>
        <v>15775.343999999999</v>
      </c>
    </row>
    <row r="15" spans="1:4">
      <c r="A15" s="6" t="s">
        <v>10</v>
      </c>
      <c r="B15" s="103"/>
      <c r="C15" s="26"/>
      <c r="D15" s="30"/>
    </row>
    <row r="16" spans="1:4">
      <c r="A16" s="6" t="s">
        <v>295</v>
      </c>
      <c r="B16" s="103" t="s">
        <v>108</v>
      </c>
      <c r="C16" s="46">
        <f>5043/8/B8</f>
        <v>0.74804200783196861</v>
      </c>
      <c r="D16" s="30">
        <f>C16*8*B8</f>
        <v>5043</v>
      </c>
    </row>
    <row r="17" spans="1:4">
      <c r="A17" s="6" t="s">
        <v>296</v>
      </c>
      <c r="B17" s="103" t="s">
        <v>89</v>
      </c>
      <c r="C17" s="46"/>
      <c r="D17" s="30"/>
    </row>
    <row r="18" spans="1:4">
      <c r="A18" s="6" t="s">
        <v>269</v>
      </c>
      <c r="B18" s="103"/>
      <c r="C18" s="46"/>
      <c r="D18" s="30"/>
    </row>
    <row r="19" spans="1:4">
      <c r="A19" s="124" t="s">
        <v>11</v>
      </c>
      <c r="B19" s="124"/>
      <c r="C19" s="124"/>
      <c r="D19" s="124"/>
    </row>
    <row r="20" spans="1:4" ht="13.5" customHeight="1">
      <c r="A20" s="41" t="s">
        <v>98</v>
      </c>
      <c r="B20" s="99"/>
      <c r="C20" s="99"/>
      <c r="D20" s="99"/>
    </row>
    <row r="21" spans="1:4" ht="13.5" customHeight="1">
      <c r="A21" s="6" t="s">
        <v>12</v>
      </c>
      <c r="B21" s="103" t="s">
        <v>76</v>
      </c>
      <c r="C21" s="118">
        <v>2.16</v>
      </c>
      <c r="D21" s="125">
        <f>C21*B8*8</f>
        <v>14561.856000000002</v>
      </c>
    </row>
    <row r="22" spans="1:4" ht="12.75" customHeight="1">
      <c r="A22" s="6" t="s">
        <v>13</v>
      </c>
      <c r="B22" s="103" t="s">
        <v>76</v>
      </c>
      <c r="C22" s="118"/>
      <c r="D22" s="126"/>
    </row>
    <row r="23" spans="1:4" ht="14.25" customHeight="1">
      <c r="A23" s="6" t="s">
        <v>14</v>
      </c>
      <c r="B23" s="103" t="s">
        <v>76</v>
      </c>
      <c r="C23" s="118"/>
      <c r="D23" s="126"/>
    </row>
    <row r="24" spans="1:4" ht="13.5" customHeight="1">
      <c r="A24" s="6" t="s">
        <v>15</v>
      </c>
      <c r="B24" s="103" t="s">
        <v>77</v>
      </c>
      <c r="C24" s="118"/>
      <c r="D24" s="126"/>
    </row>
    <row r="25" spans="1:4" ht="12.75" customHeight="1">
      <c r="A25" s="41" t="s">
        <v>94</v>
      </c>
      <c r="B25" s="103"/>
      <c r="C25" s="118"/>
      <c r="D25" s="126"/>
    </row>
    <row r="26" spans="1:4" ht="30" customHeight="1">
      <c r="A26" s="6" t="s">
        <v>16</v>
      </c>
      <c r="B26" s="103" t="s">
        <v>95</v>
      </c>
      <c r="C26" s="118"/>
      <c r="D26" s="127"/>
    </row>
    <row r="27" spans="1:4" ht="12.75" customHeight="1">
      <c r="A27" s="121" t="s">
        <v>17</v>
      </c>
      <c r="B27" s="122"/>
      <c r="C27" s="122"/>
      <c r="D27" s="123"/>
    </row>
    <row r="28" spans="1:4" ht="12" customHeight="1">
      <c r="A28" s="7" t="s">
        <v>18</v>
      </c>
      <c r="B28" s="21" t="s">
        <v>79</v>
      </c>
      <c r="C28" s="118">
        <v>0.2</v>
      </c>
      <c r="D28" s="128">
        <f>C28*B8*8</f>
        <v>1348.3200000000002</v>
      </c>
    </row>
    <row r="29" spans="1:4" ht="12" customHeight="1">
      <c r="A29" s="7" t="s">
        <v>19</v>
      </c>
      <c r="B29" s="21" t="s">
        <v>78</v>
      </c>
      <c r="C29" s="118"/>
      <c r="D29" s="128"/>
    </row>
    <row r="30" spans="1:4" ht="13.5" customHeight="1">
      <c r="A30" s="121" t="s">
        <v>20</v>
      </c>
      <c r="B30" s="122"/>
      <c r="C30" s="122"/>
      <c r="D30" s="123"/>
    </row>
    <row r="31" spans="1:4">
      <c r="A31" s="128" t="s">
        <v>21</v>
      </c>
      <c r="B31" s="128"/>
      <c r="C31" s="128"/>
      <c r="D31" s="128"/>
    </row>
    <row r="32" spans="1:4" ht="37.5" customHeight="1">
      <c r="A32" s="8" t="s">
        <v>22</v>
      </c>
      <c r="B32" s="22" t="s">
        <v>80</v>
      </c>
      <c r="C32" s="118">
        <v>0.61</v>
      </c>
      <c r="D32" s="117">
        <f>C32*B8*8</f>
        <v>4112.3760000000002</v>
      </c>
    </row>
    <row r="33" spans="1:4" ht="15" customHeight="1">
      <c r="A33" s="9" t="s">
        <v>24</v>
      </c>
      <c r="B33" s="23" t="s">
        <v>81</v>
      </c>
      <c r="C33" s="118"/>
      <c r="D33" s="126"/>
    </row>
    <row r="34" spans="1:4" ht="13.5" customHeight="1">
      <c r="A34" s="9" t="s">
        <v>26</v>
      </c>
      <c r="B34" s="23" t="s">
        <v>81</v>
      </c>
      <c r="C34" s="118"/>
      <c r="D34" s="126"/>
    </row>
    <row r="35" spans="1:4" ht="36" customHeight="1">
      <c r="A35" s="9" t="s">
        <v>27</v>
      </c>
      <c r="B35" s="22" t="s">
        <v>23</v>
      </c>
      <c r="C35" s="118"/>
      <c r="D35" s="126"/>
    </row>
    <row r="36" spans="1:4" ht="14.25" customHeight="1">
      <c r="A36" s="9" t="s">
        <v>28</v>
      </c>
      <c r="B36" s="22" t="s">
        <v>25</v>
      </c>
      <c r="C36" s="118"/>
      <c r="D36" s="126"/>
    </row>
    <row r="37" spans="1:4" ht="33.75" customHeight="1">
      <c r="A37" s="24" t="s">
        <v>29</v>
      </c>
      <c r="B37" s="22" t="s">
        <v>23</v>
      </c>
      <c r="C37" s="129"/>
      <c r="D37" s="127"/>
    </row>
    <row r="38" spans="1:4" ht="15.75" customHeight="1">
      <c r="A38" s="128" t="s">
        <v>66</v>
      </c>
      <c r="B38" s="128"/>
      <c r="C38" s="128"/>
      <c r="D38" s="128"/>
    </row>
    <row r="39" spans="1:4" ht="36.75" customHeight="1">
      <c r="A39" s="9" t="s">
        <v>67</v>
      </c>
      <c r="B39" s="22" t="s">
        <v>80</v>
      </c>
      <c r="C39" s="117">
        <v>1</v>
      </c>
      <c r="D39" s="118">
        <f>C39*B8*8</f>
        <v>6741.6</v>
      </c>
    </row>
    <row r="40" spans="1:4" ht="14.25" customHeight="1">
      <c r="A40" s="9" t="s">
        <v>68</v>
      </c>
      <c r="B40" s="22" t="s">
        <v>81</v>
      </c>
      <c r="C40" s="117"/>
      <c r="D40" s="119"/>
    </row>
    <row r="41" spans="1:4" ht="14.25" customHeight="1">
      <c r="A41" s="9" t="s">
        <v>69</v>
      </c>
      <c r="B41" s="22" t="s">
        <v>81</v>
      </c>
      <c r="C41" s="117"/>
      <c r="D41" s="119"/>
    </row>
    <row r="42" spans="1:4" ht="24" customHeight="1">
      <c r="A42" s="9" t="s">
        <v>70</v>
      </c>
      <c r="B42" s="22" t="s">
        <v>80</v>
      </c>
      <c r="C42" s="117"/>
      <c r="D42" s="119"/>
    </row>
    <row r="43" spans="1:4" ht="25.5" customHeight="1">
      <c r="A43" s="10" t="s">
        <v>71</v>
      </c>
      <c r="B43" s="22" t="s">
        <v>80</v>
      </c>
      <c r="C43" s="117"/>
      <c r="D43" s="119"/>
    </row>
    <row r="44" spans="1:4" ht="14.25" customHeight="1">
      <c r="A44" s="9" t="s">
        <v>72</v>
      </c>
      <c r="B44" s="22" t="s">
        <v>25</v>
      </c>
      <c r="C44" s="117"/>
      <c r="D44" s="120"/>
    </row>
    <row r="45" spans="1:4" ht="11.25" customHeight="1">
      <c r="A45" s="130" t="s">
        <v>30</v>
      </c>
      <c r="B45" s="130"/>
      <c r="C45" s="130"/>
      <c r="D45" s="130"/>
    </row>
    <row r="46" spans="1:4" ht="35.25" customHeight="1">
      <c r="A46" s="9" t="s">
        <v>31</v>
      </c>
      <c r="B46" s="22" t="s">
        <v>23</v>
      </c>
      <c r="C46" s="117">
        <v>0.7</v>
      </c>
      <c r="D46" s="118">
        <f>C46*8*B8</f>
        <v>4719.12</v>
      </c>
    </row>
    <row r="47" spans="1:4" ht="38.25" customHeight="1">
      <c r="A47" s="9" t="s">
        <v>32</v>
      </c>
      <c r="B47" s="22" t="s">
        <v>23</v>
      </c>
      <c r="C47" s="117"/>
      <c r="D47" s="118"/>
    </row>
    <row r="48" spans="1:4" ht="15" customHeight="1">
      <c r="A48" s="10" t="s">
        <v>33</v>
      </c>
      <c r="B48" s="22" t="s">
        <v>23</v>
      </c>
      <c r="C48" s="117"/>
      <c r="D48" s="118"/>
    </row>
    <row r="49" spans="1:4" ht="12.75" customHeight="1">
      <c r="A49" s="128" t="s">
        <v>34</v>
      </c>
      <c r="B49" s="128"/>
      <c r="C49" s="128"/>
      <c r="D49" s="128"/>
    </row>
    <row r="50" spans="1:4" ht="29.25" customHeight="1">
      <c r="A50" s="9" t="s">
        <v>35</v>
      </c>
      <c r="B50" s="22" t="s">
        <v>78</v>
      </c>
      <c r="C50" s="117">
        <v>3.82</v>
      </c>
      <c r="D50" s="117">
        <f>C50*8*B8+530.87+0.26</f>
        <v>26284.041999999998</v>
      </c>
    </row>
    <row r="51" spans="1:4" ht="14.25" customHeight="1">
      <c r="A51" s="9" t="s">
        <v>36</v>
      </c>
      <c r="B51" s="22" t="s">
        <v>82</v>
      </c>
      <c r="C51" s="117"/>
      <c r="D51" s="117"/>
    </row>
    <row r="52" spans="1:4" ht="17.25" customHeight="1">
      <c r="A52" s="9" t="s">
        <v>37</v>
      </c>
      <c r="B52" s="22" t="s">
        <v>82</v>
      </c>
      <c r="C52" s="117"/>
      <c r="D52" s="117"/>
    </row>
    <row r="53" spans="1:4" ht="24.75" customHeight="1">
      <c r="A53" s="9" t="s">
        <v>38</v>
      </c>
      <c r="B53" s="22" t="s">
        <v>83</v>
      </c>
      <c r="C53" s="117"/>
      <c r="D53" s="117"/>
    </row>
    <row r="54" spans="1:4" ht="30" customHeight="1">
      <c r="A54" s="9" t="s">
        <v>39</v>
      </c>
      <c r="B54" s="22" t="s">
        <v>83</v>
      </c>
      <c r="C54" s="117"/>
      <c r="D54" s="117"/>
    </row>
    <row r="55" spans="1:4" ht="12.75" customHeight="1">
      <c r="A55" s="99" t="s">
        <v>96</v>
      </c>
      <c r="B55" s="6"/>
      <c r="C55" s="117"/>
      <c r="D55" s="117"/>
    </row>
    <row r="56" spans="1:4" ht="35.25" customHeight="1">
      <c r="A56" s="9" t="s">
        <v>41</v>
      </c>
      <c r="B56" s="22" t="s">
        <v>80</v>
      </c>
      <c r="C56" s="117"/>
      <c r="D56" s="117"/>
    </row>
    <row r="57" spans="1:4" ht="14.25" customHeight="1">
      <c r="A57" s="9" t="s">
        <v>42</v>
      </c>
      <c r="B57" s="22" t="s">
        <v>81</v>
      </c>
      <c r="C57" s="117"/>
      <c r="D57" s="117"/>
    </row>
    <row r="58" spans="1:4" ht="14.25" customHeight="1">
      <c r="A58" s="9" t="s">
        <v>43</v>
      </c>
      <c r="B58" s="23" t="s">
        <v>81</v>
      </c>
      <c r="C58" s="117"/>
      <c r="D58" s="117"/>
    </row>
    <row r="59" spans="1:4" ht="13.5" customHeight="1">
      <c r="A59" s="9" t="s">
        <v>44</v>
      </c>
      <c r="B59" s="23" t="s">
        <v>81</v>
      </c>
      <c r="C59" s="117"/>
      <c r="D59" s="117"/>
    </row>
    <row r="60" spans="1:4" ht="13.5" customHeight="1">
      <c r="A60" s="9" t="s">
        <v>45</v>
      </c>
      <c r="B60" s="21" t="s">
        <v>293</v>
      </c>
      <c r="C60" s="117"/>
      <c r="D60" s="117"/>
    </row>
    <row r="61" spans="1:4" ht="36.75" customHeight="1">
      <c r="A61" s="10" t="s">
        <v>46</v>
      </c>
      <c r="B61" s="22" t="s">
        <v>23</v>
      </c>
      <c r="C61" s="117"/>
      <c r="D61" s="117"/>
    </row>
    <row r="62" spans="1:4">
      <c r="A62" s="128" t="s">
        <v>47</v>
      </c>
      <c r="B62" s="128"/>
      <c r="C62" s="128"/>
      <c r="D62" s="128"/>
    </row>
    <row r="63" spans="1:4" ht="15.75" customHeight="1">
      <c r="A63" s="9" t="s">
        <v>48</v>
      </c>
      <c r="B63" s="22" t="s">
        <v>84</v>
      </c>
      <c r="C63" s="118">
        <v>1.75</v>
      </c>
      <c r="D63" s="117">
        <f>C63*B8*8</f>
        <v>11797.800000000001</v>
      </c>
    </row>
    <row r="64" spans="1:4" ht="12.75" customHeight="1">
      <c r="A64" s="9" t="s">
        <v>49</v>
      </c>
      <c r="B64" s="22" t="s">
        <v>84</v>
      </c>
      <c r="C64" s="118"/>
      <c r="D64" s="117"/>
    </row>
    <row r="65" spans="1:4" ht="26.25" customHeight="1">
      <c r="A65" s="9" t="s">
        <v>50</v>
      </c>
      <c r="B65" s="22" t="s">
        <v>84</v>
      </c>
      <c r="C65" s="118"/>
      <c r="D65" s="117"/>
    </row>
    <row r="66" spans="1:4" ht="16.5" customHeight="1">
      <c r="A66" s="9" t="s">
        <v>51</v>
      </c>
      <c r="B66" s="22" t="s">
        <v>84</v>
      </c>
      <c r="C66" s="118"/>
      <c r="D66" s="117"/>
    </row>
    <row r="67" spans="1:4" ht="36.75" customHeight="1">
      <c r="A67" s="10" t="s">
        <v>52</v>
      </c>
      <c r="B67" s="22" t="s">
        <v>23</v>
      </c>
      <c r="C67" s="118"/>
      <c r="D67" s="117"/>
    </row>
    <row r="68" spans="1:4" ht="16.5" customHeight="1">
      <c r="A68" s="10" t="s">
        <v>53</v>
      </c>
      <c r="B68" s="23" t="s">
        <v>85</v>
      </c>
      <c r="C68" s="118"/>
      <c r="D68" s="117"/>
    </row>
    <row r="69" spans="1:4">
      <c r="A69" s="121" t="s">
        <v>86</v>
      </c>
      <c r="B69" s="122"/>
      <c r="C69" s="122"/>
      <c r="D69" s="123"/>
    </row>
    <row r="70" spans="1:4" ht="26.25" customHeight="1">
      <c r="A70" s="139" t="s">
        <v>97</v>
      </c>
      <c r="B70" s="141" t="s">
        <v>87</v>
      </c>
      <c r="C70" s="118">
        <v>2.41</v>
      </c>
      <c r="D70" s="117">
        <f>C70*B8*8</f>
        <v>16247.256000000001</v>
      </c>
    </row>
    <row r="71" spans="1:4" ht="3.75" customHeight="1">
      <c r="A71" s="140"/>
      <c r="B71" s="141"/>
      <c r="C71" s="118"/>
      <c r="D71" s="117"/>
    </row>
    <row r="72" spans="1:4" ht="15" customHeight="1">
      <c r="A72" s="121" t="s">
        <v>56</v>
      </c>
      <c r="B72" s="122"/>
      <c r="C72" s="122"/>
      <c r="D72" s="123"/>
    </row>
    <row r="73" spans="1:4" ht="16.5" customHeight="1">
      <c r="A73" s="6" t="s">
        <v>91</v>
      </c>
      <c r="B73" s="21" t="s">
        <v>88</v>
      </c>
      <c r="C73" s="131">
        <v>2.14</v>
      </c>
      <c r="D73" s="133">
        <v>14502.15</v>
      </c>
    </row>
    <row r="74" spans="1:4">
      <c r="A74" s="6" t="s">
        <v>92</v>
      </c>
      <c r="B74" s="21" t="s">
        <v>88</v>
      </c>
      <c r="C74" s="132"/>
      <c r="D74" s="134"/>
    </row>
    <row r="75" spans="1:4" ht="15" customHeight="1">
      <c r="A75" s="6" t="s">
        <v>93</v>
      </c>
      <c r="B75" s="21" t="s">
        <v>88</v>
      </c>
      <c r="C75" s="130"/>
      <c r="D75" s="135"/>
    </row>
    <row r="76" spans="1:4" ht="38.25" customHeight="1">
      <c r="A76" s="6" t="s">
        <v>165</v>
      </c>
      <c r="B76" s="22" t="s">
        <v>23</v>
      </c>
      <c r="C76" s="101">
        <v>4.3499999999999996</v>
      </c>
      <c r="D76" s="101">
        <v>29497.25</v>
      </c>
    </row>
    <row r="77" spans="1:4">
      <c r="A77" s="99" t="s">
        <v>57</v>
      </c>
      <c r="B77" s="23"/>
      <c r="C77" s="28">
        <f>C76+C73+C70+C63+C50+C46+C39+C32+C28+C21+C14+C13</f>
        <v>21.62</v>
      </c>
      <c r="D77" s="57">
        <f>D76+D73+D70+D63+D50+D46+D39+D32+D28+D21+D14+D13</f>
        <v>146530.93800000002</v>
      </c>
    </row>
    <row r="78" spans="1:4">
      <c r="C78" t="s">
        <v>284</v>
      </c>
    </row>
    <row r="79" spans="1:4">
      <c r="D79" s="42"/>
    </row>
    <row r="80" spans="1:4">
      <c r="D80" s="42"/>
    </row>
    <row r="81" spans="4:4">
      <c r="D81" s="42"/>
    </row>
    <row r="82" spans="4:4">
      <c r="D82" s="42"/>
    </row>
  </sheetData>
  <mergeCells count="31">
    <mergeCell ref="C39:C44"/>
    <mergeCell ref="D39:D44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  <mergeCell ref="A45:D45"/>
    <mergeCell ref="C46:C48"/>
    <mergeCell ref="D46:D48"/>
    <mergeCell ref="A49:D49"/>
    <mergeCell ref="C50:C61"/>
    <mergeCell ref="D50:D61"/>
    <mergeCell ref="A72:D72"/>
    <mergeCell ref="C73:C75"/>
    <mergeCell ref="D73:D75"/>
    <mergeCell ref="A62:D62"/>
    <mergeCell ref="C63:C68"/>
    <mergeCell ref="D63:D68"/>
    <mergeCell ref="A69:D69"/>
    <mergeCell ref="A70:A71"/>
    <mergeCell ref="B70:B71"/>
    <mergeCell ref="C70:C71"/>
    <mergeCell ref="D70:D7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8"/>
  <sheetViews>
    <sheetView topLeftCell="A55" workbookViewId="0">
      <selection activeCell="A81" sqref="A81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290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2011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24</v>
      </c>
      <c r="C7" s="2"/>
      <c r="D7" s="2"/>
    </row>
    <row r="8" spans="1:4">
      <c r="A8" s="25" t="s">
        <v>73</v>
      </c>
      <c r="B8" s="2">
        <v>841.9</v>
      </c>
      <c r="C8" s="2"/>
      <c r="D8" s="2"/>
    </row>
    <row r="9" spans="1:4">
      <c r="A9" s="25" t="s">
        <v>63</v>
      </c>
      <c r="B9" s="2">
        <v>190.2</v>
      </c>
      <c r="C9" s="2"/>
      <c r="D9" s="2"/>
    </row>
    <row r="10" spans="1:4">
      <c r="A10" s="25" t="s">
        <v>74</v>
      </c>
      <c r="B10" s="48" t="s">
        <v>101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942.92800000000011</v>
      </c>
    </row>
    <row r="14" spans="1:4" ht="75.75" customHeight="1">
      <c r="A14" s="6" t="s">
        <v>90</v>
      </c>
      <c r="B14" s="103" t="s">
        <v>9</v>
      </c>
      <c r="C14" s="26">
        <v>2.34</v>
      </c>
      <c r="D14" s="29">
        <f>C14*8*B8</f>
        <v>15760.367999999999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99"/>
      <c r="C16" s="99"/>
      <c r="D16" s="99"/>
    </row>
    <row r="17" spans="1:4" ht="13.5" customHeight="1">
      <c r="A17" s="6" t="s">
        <v>12</v>
      </c>
      <c r="B17" s="103" t="s">
        <v>76</v>
      </c>
      <c r="C17" s="118">
        <v>2.16</v>
      </c>
      <c r="D17" s="125">
        <f>C17*B8*8</f>
        <v>14548.032000000001</v>
      </c>
    </row>
    <row r="18" spans="1:4" ht="12.75" customHeight="1">
      <c r="A18" s="6" t="s">
        <v>13</v>
      </c>
      <c r="B18" s="103" t="s">
        <v>76</v>
      </c>
      <c r="C18" s="118"/>
      <c r="D18" s="126"/>
    </row>
    <row r="19" spans="1:4" ht="14.25" customHeight="1">
      <c r="A19" s="6" t="s">
        <v>14</v>
      </c>
      <c r="B19" s="103" t="s">
        <v>76</v>
      </c>
      <c r="C19" s="118"/>
      <c r="D19" s="126"/>
    </row>
    <row r="20" spans="1:4" ht="13.5" customHeight="1">
      <c r="A20" s="6" t="s">
        <v>15</v>
      </c>
      <c r="B20" s="103" t="s">
        <v>77</v>
      </c>
      <c r="C20" s="118"/>
      <c r="D20" s="126"/>
    </row>
    <row r="21" spans="1:4" ht="12.75" customHeight="1">
      <c r="A21" s="41" t="s">
        <v>94</v>
      </c>
      <c r="B21" s="103"/>
      <c r="C21" s="118"/>
      <c r="D21" s="126"/>
    </row>
    <row r="22" spans="1:4" ht="30" customHeight="1">
      <c r="A22" s="6" t="s">
        <v>16</v>
      </c>
      <c r="B22" s="103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C24*B8*8</f>
        <v>1347.04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C28*B8*8</f>
        <v>4108.4719999999998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25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C35*B8*8</f>
        <v>6735.2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25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0.7</v>
      </c>
      <c r="D42" s="118">
        <f>C42*8*B8</f>
        <v>4714.6399999999994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3.82</v>
      </c>
      <c r="D46" s="117">
        <f>C46*8*B8+0.26</f>
        <v>25728.723999999998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99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81</v>
      </c>
      <c r="C53" s="117"/>
      <c r="D53" s="117"/>
    </row>
    <row r="54" spans="1:4" ht="14.25" customHeight="1">
      <c r="A54" s="9" t="s">
        <v>43</v>
      </c>
      <c r="B54" s="23" t="s">
        <v>81</v>
      </c>
      <c r="C54" s="117"/>
      <c r="D54" s="117"/>
    </row>
    <row r="55" spans="1:4" ht="13.5" customHeight="1">
      <c r="A55" s="9" t="s">
        <v>44</v>
      </c>
      <c r="B55" s="23" t="s">
        <v>81</v>
      </c>
      <c r="C55" s="117"/>
      <c r="D55" s="117"/>
    </row>
    <row r="56" spans="1:4" ht="13.5" customHeight="1">
      <c r="A56" s="9" t="s">
        <v>45</v>
      </c>
      <c r="B56" s="21" t="s">
        <v>291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1.75</v>
      </c>
      <c r="D59" s="117">
        <f>C59*B8*8</f>
        <v>11786.6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27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6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C66*B8*8</f>
        <v>16231.832</v>
      </c>
    </row>
    <row r="67" spans="1:4" ht="3.7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14413.28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101">
        <v>4.3499999999999996</v>
      </c>
      <c r="D72" s="101">
        <v>29298.639999999999</v>
      </c>
    </row>
    <row r="73" spans="1:4">
      <c r="A73" s="99" t="s">
        <v>57</v>
      </c>
      <c r="B73" s="23"/>
      <c r="C73" s="28">
        <f>C72+C69+C66+C59+C46+C42+C35+C28+C24+C17+C14+C13</f>
        <v>21.62</v>
      </c>
      <c r="D73" s="57">
        <f>D72+D69+D66+D59+D46+D42+D35+D28+D24+D17+D14+D13</f>
        <v>145615.75599999999</v>
      </c>
    </row>
    <row r="74" spans="1:4">
      <c r="C74" t="s">
        <v>284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  <mergeCell ref="A41:D41"/>
    <mergeCell ref="C42:C44"/>
    <mergeCell ref="D42:D44"/>
    <mergeCell ref="A45:D45"/>
    <mergeCell ref="C46:C57"/>
    <mergeCell ref="D46:D57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81"/>
  <sheetViews>
    <sheetView topLeftCell="A67" workbookViewId="0">
      <selection activeCell="A15" sqref="A15:XFD16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286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1986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1706.8</v>
      </c>
      <c r="C8" s="2"/>
      <c r="D8" s="2"/>
    </row>
    <row r="9" spans="1:4">
      <c r="A9" s="25" t="s">
        <v>63</v>
      </c>
      <c r="B9" s="2">
        <v>149</v>
      </c>
      <c r="C9" s="2"/>
      <c r="D9" s="2"/>
    </row>
    <row r="10" spans="1:4">
      <c r="A10" s="25" t="s">
        <v>74</v>
      </c>
      <c r="B10" s="48">
        <v>442.4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1911.6160000000002</v>
      </c>
    </row>
    <row r="14" spans="1:4" ht="75.75" customHeight="1">
      <c r="A14" s="6" t="s">
        <v>90</v>
      </c>
      <c r="B14" s="103" t="s">
        <v>9</v>
      </c>
      <c r="C14" s="26">
        <v>2.79</v>
      </c>
      <c r="D14" s="29">
        <f>C14*8*B8</f>
        <v>38095.775999999998</v>
      </c>
    </row>
    <row r="15" spans="1:4">
      <c r="A15" s="6" t="s">
        <v>10</v>
      </c>
      <c r="B15" s="103"/>
      <c r="C15" s="26"/>
      <c r="D15" s="30"/>
    </row>
    <row r="16" spans="1:4">
      <c r="A16" s="6" t="s">
        <v>288</v>
      </c>
      <c r="B16" s="103" t="s">
        <v>108</v>
      </c>
      <c r="C16" s="46">
        <f>2920/8/B8</f>
        <v>0.21385048043121632</v>
      </c>
      <c r="D16" s="30">
        <f>C16*8*B8</f>
        <v>2920</v>
      </c>
    </row>
    <row r="17" spans="1:4">
      <c r="A17" s="124" t="s">
        <v>11</v>
      </c>
      <c r="B17" s="124"/>
      <c r="C17" s="124"/>
      <c r="D17" s="124"/>
    </row>
    <row r="18" spans="1:4" ht="13.5" customHeight="1">
      <c r="A18" s="41" t="s">
        <v>98</v>
      </c>
      <c r="B18" s="99"/>
      <c r="C18" s="99"/>
      <c r="D18" s="99"/>
    </row>
    <row r="19" spans="1:4" ht="13.5" customHeight="1">
      <c r="A19" s="6" t="s">
        <v>12</v>
      </c>
      <c r="B19" s="103" t="s">
        <v>76</v>
      </c>
      <c r="C19" s="118">
        <v>2.16</v>
      </c>
      <c r="D19" s="125">
        <f>C19*B8*8</f>
        <v>29493.504000000001</v>
      </c>
    </row>
    <row r="20" spans="1:4" ht="12.75" customHeight="1">
      <c r="A20" s="6" t="s">
        <v>13</v>
      </c>
      <c r="B20" s="103" t="s">
        <v>76</v>
      </c>
      <c r="C20" s="118"/>
      <c r="D20" s="126"/>
    </row>
    <row r="21" spans="1:4" ht="14.25" customHeight="1">
      <c r="A21" s="6" t="s">
        <v>14</v>
      </c>
      <c r="B21" s="103" t="s">
        <v>76</v>
      </c>
      <c r="C21" s="118"/>
      <c r="D21" s="126"/>
    </row>
    <row r="22" spans="1:4" ht="13.5" customHeight="1">
      <c r="A22" s="6" t="s">
        <v>15</v>
      </c>
      <c r="B22" s="103" t="s">
        <v>77</v>
      </c>
      <c r="C22" s="118"/>
      <c r="D22" s="126"/>
    </row>
    <row r="23" spans="1:4" ht="12.75" customHeight="1">
      <c r="A23" s="41" t="s">
        <v>94</v>
      </c>
      <c r="B23" s="103"/>
      <c r="C23" s="118"/>
      <c r="D23" s="126"/>
    </row>
    <row r="24" spans="1:4" ht="30" customHeight="1">
      <c r="A24" s="6" t="s">
        <v>16</v>
      </c>
      <c r="B24" s="103" t="s">
        <v>95</v>
      </c>
      <c r="C24" s="118"/>
      <c r="D24" s="127"/>
    </row>
    <row r="25" spans="1:4" ht="12.75" customHeight="1">
      <c r="A25" s="121" t="s">
        <v>17</v>
      </c>
      <c r="B25" s="122"/>
      <c r="C25" s="122"/>
      <c r="D25" s="123"/>
    </row>
    <row r="26" spans="1:4" ht="12" customHeight="1">
      <c r="A26" s="7" t="s">
        <v>18</v>
      </c>
      <c r="B26" s="21" t="s">
        <v>79</v>
      </c>
      <c r="C26" s="118">
        <v>0.2</v>
      </c>
      <c r="D26" s="128">
        <f>C26*B8*8</f>
        <v>2730.88</v>
      </c>
    </row>
    <row r="27" spans="1:4" ht="12" customHeight="1">
      <c r="A27" s="7" t="s">
        <v>19</v>
      </c>
      <c r="B27" s="21" t="s">
        <v>78</v>
      </c>
      <c r="C27" s="118"/>
      <c r="D27" s="128"/>
    </row>
    <row r="28" spans="1:4" ht="13.5" customHeight="1">
      <c r="A28" s="121" t="s">
        <v>20</v>
      </c>
      <c r="B28" s="122"/>
      <c r="C28" s="122"/>
      <c r="D28" s="123"/>
    </row>
    <row r="29" spans="1:4">
      <c r="A29" s="128" t="s">
        <v>21</v>
      </c>
      <c r="B29" s="128"/>
      <c r="C29" s="128"/>
      <c r="D29" s="128"/>
    </row>
    <row r="30" spans="1:4" ht="37.5" customHeight="1">
      <c r="A30" s="8" t="s">
        <v>22</v>
      </c>
      <c r="B30" s="22" t="s">
        <v>80</v>
      </c>
      <c r="C30" s="118">
        <v>0.61</v>
      </c>
      <c r="D30" s="117">
        <f>C30*B8*8</f>
        <v>8329.1839999999993</v>
      </c>
    </row>
    <row r="31" spans="1:4" ht="15" customHeight="1">
      <c r="A31" s="9" t="s">
        <v>24</v>
      </c>
      <c r="B31" s="23" t="s">
        <v>81</v>
      </c>
      <c r="C31" s="118"/>
      <c r="D31" s="126"/>
    </row>
    <row r="32" spans="1:4" ht="13.5" customHeight="1">
      <c r="A32" s="9" t="s">
        <v>26</v>
      </c>
      <c r="B32" s="23" t="s">
        <v>81</v>
      </c>
      <c r="C32" s="118"/>
      <c r="D32" s="126"/>
    </row>
    <row r="33" spans="1:4" ht="36" customHeight="1">
      <c r="A33" s="9" t="s">
        <v>27</v>
      </c>
      <c r="B33" s="22" t="s">
        <v>23</v>
      </c>
      <c r="C33" s="118"/>
      <c r="D33" s="126"/>
    </row>
    <row r="34" spans="1:4" ht="14.25" customHeight="1">
      <c r="A34" s="9" t="s">
        <v>28</v>
      </c>
      <c r="B34" s="22" t="s">
        <v>25</v>
      </c>
      <c r="C34" s="118"/>
      <c r="D34" s="126"/>
    </row>
    <row r="35" spans="1:4" ht="33.75" customHeight="1">
      <c r="A35" s="24" t="s">
        <v>29</v>
      </c>
      <c r="B35" s="22" t="s">
        <v>23</v>
      </c>
      <c r="C35" s="129"/>
      <c r="D35" s="127"/>
    </row>
    <row r="36" spans="1:4" ht="15.75" customHeight="1">
      <c r="A36" s="128" t="s">
        <v>66</v>
      </c>
      <c r="B36" s="128"/>
      <c r="C36" s="128"/>
      <c r="D36" s="128"/>
    </row>
    <row r="37" spans="1:4" ht="36.75" customHeight="1">
      <c r="A37" s="9" t="s">
        <v>67</v>
      </c>
      <c r="B37" s="22" t="s">
        <v>80</v>
      </c>
      <c r="C37" s="117">
        <v>1</v>
      </c>
      <c r="D37" s="118">
        <f>C37*B8*8</f>
        <v>13654.4</v>
      </c>
    </row>
    <row r="38" spans="1:4" ht="14.25" customHeight="1">
      <c r="A38" s="9" t="s">
        <v>68</v>
      </c>
      <c r="B38" s="22" t="s">
        <v>81</v>
      </c>
      <c r="C38" s="117"/>
      <c r="D38" s="119"/>
    </row>
    <row r="39" spans="1:4" ht="14.25" customHeight="1">
      <c r="A39" s="9" t="s">
        <v>69</v>
      </c>
      <c r="B39" s="22" t="s">
        <v>81</v>
      </c>
      <c r="C39" s="117"/>
      <c r="D39" s="119"/>
    </row>
    <row r="40" spans="1:4" ht="24" customHeight="1">
      <c r="A40" s="9" t="s">
        <v>70</v>
      </c>
      <c r="B40" s="22" t="s">
        <v>80</v>
      </c>
      <c r="C40" s="117"/>
      <c r="D40" s="119"/>
    </row>
    <row r="41" spans="1:4" ht="25.5" customHeight="1">
      <c r="A41" s="10" t="s">
        <v>71</v>
      </c>
      <c r="B41" s="22" t="s">
        <v>80</v>
      </c>
      <c r="C41" s="117"/>
      <c r="D41" s="119"/>
    </row>
    <row r="42" spans="1:4" ht="14.25" customHeight="1">
      <c r="A42" s="9" t="s">
        <v>72</v>
      </c>
      <c r="B42" s="22" t="s">
        <v>25</v>
      </c>
      <c r="C42" s="117"/>
      <c r="D42" s="120"/>
    </row>
    <row r="43" spans="1:4" ht="11.25" customHeight="1">
      <c r="A43" s="130" t="s">
        <v>30</v>
      </c>
      <c r="B43" s="130"/>
      <c r="C43" s="130"/>
      <c r="D43" s="130"/>
    </row>
    <row r="44" spans="1:4" ht="35.25" customHeight="1">
      <c r="A44" s="9" t="s">
        <v>31</v>
      </c>
      <c r="B44" s="22" t="s">
        <v>23</v>
      </c>
      <c r="C44" s="117">
        <v>0.7</v>
      </c>
      <c r="D44" s="118">
        <f>C44*8*B8</f>
        <v>9558.08</v>
      </c>
    </row>
    <row r="45" spans="1:4" ht="38.25" customHeight="1">
      <c r="A45" s="9" t="s">
        <v>32</v>
      </c>
      <c r="B45" s="22" t="s">
        <v>23</v>
      </c>
      <c r="C45" s="117"/>
      <c r="D45" s="118"/>
    </row>
    <row r="46" spans="1:4" ht="15" customHeight="1">
      <c r="A46" s="10" t="s">
        <v>33</v>
      </c>
      <c r="B46" s="22" t="s">
        <v>23</v>
      </c>
      <c r="C46" s="117"/>
      <c r="D46" s="118"/>
    </row>
    <row r="47" spans="1:4" ht="12.75" customHeight="1">
      <c r="A47" s="128" t="s">
        <v>34</v>
      </c>
      <c r="B47" s="128"/>
      <c r="C47" s="128"/>
      <c r="D47" s="128"/>
    </row>
    <row r="48" spans="1:4" ht="29.25" customHeight="1">
      <c r="A48" s="9" t="s">
        <v>35</v>
      </c>
      <c r="B48" s="22" t="s">
        <v>78</v>
      </c>
      <c r="C48" s="117">
        <v>3.68</v>
      </c>
      <c r="D48" s="117">
        <f>C48*8*B8</f>
        <v>50248.192000000003</v>
      </c>
    </row>
    <row r="49" spans="1:4" ht="14.25" customHeight="1">
      <c r="A49" s="9" t="s">
        <v>36</v>
      </c>
      <c r="B49" s="22" t="s">
        <v>82</v>
      </c>
      <c r="C49" s="117"/>
      <c r="D49" s="117"/>
    </row>
    <row r="50" spans="1:4" ht="17.25" customHeight="1">
      <c r="A50" s="9" t="s">
        <v>37</v>
      </c>
      <c r="B50" s="22" t="s">
        <v>82</v>
      </c>
      <c r="C50" s="117"/>
      <c r="D50" s="117"/>
    </row>
    <row r="51" spans="1:4" ht="24.75" customHeight="1">
      <c r="A51" s="9" t="s">
        <v>38</v>
      </c>
      <c r="B51" s="22" t="s">
        <v>83</v>
      </c>
      <c r="C51" s="117"/>
      <c r="D51" s="117"/>
    </row>
    <row r="52" spans="1:4" ht="30" customHeight="1">
      <c r="A52" s="9" t="s">
        <v>39</v>
      </c>
      <c r="B52" s="22" t="s">
        <v>83</v>
      </c>
      <c r="C52" s="117"/>
      <c r="D52" s="117"/>
    </row>
    <row r="53" spans="1:4" ht="12.75" customHeight="1">
      <c r="A53" s="99" t="s">
        <v>96</v>
      </c>
      <c r="B53" s="6"/>
      <c r="C53" s="117"/>
      <c r="D53" s="117"/>
    </row>
    <row r="54" spans="1:4" ht="35.25" customHeight="1">
      <c r="A54" s="9" t="s">
        <v>41</v>
      </c>
      <c r="B54" s="22" t="s">
        <v>80</v>
      </c>
      <c r="C54" s="117"/>
      <c r="D54" s="117"/>
    </row>
    <row r="55" spans="1:4" ht="14.25" customHeight="1">
      <c r="A55" s="9" t="s">
        <v>42</v>
      </c>
      <c r="B55" s="22" t="s">
        <v>81</v>
      </c>
      <c r="C55" s="117"/>
      <c r="D55" s="117"/>
    </row>
    <row r="56" spans="1:4" ht="14.25" customHeight="1">
      <c r="A56" s="9" t="s">
        <v>43</v>
      </c>
      <c r="B56" s="23" t="s">
        <v>81</v>
      </c>
      <c r="C56" s="117"/>
      <c r="D56" s="117"/>
    </row>
    <row r="57" spans="1:4" ht="13.5" customHeight="1">
      <c r="A57" s="9" t="s">
        <v>44</v>
      </c>
      <c r="B57" s="23" t="s">
        <v>81</v>
      </c>
      <c r="C57" s="117"/>
      <c r="D57" s="117"/>
    </row>
    <row r="58" spans="1:4" ht="13.5" customHeight="1">
      <c r="A58" s="9" t="s">
        <v>45</v>
      </c>
      <c r="B58" s="21" t="s">
        <v>289</v>
      </c>
      <c r="C58" s="117"/>
      <c r="D58" s="117"/>
    </row>
    <row r="59" spans="1:4" ht="36.75" customHeight="1">
      <c r="A59" s="10" t="s">
        <v>46</v>
      </c>
      <c r="B59" s="22" t="s">
        <v>23</v>
      </c>
      <c r="C59" s="117"/>
      <c r="D59" s="117"/>
    </row>
    <row r="60" spans="1:4">
      <c r="A60" s="128" t="s">
        <v>47</v>
      </c>
      <c r="B60" s="128"/>
      <c r="C60" s="128"/>
      <c r="D60" s="128"/>
    </row>
    <row r="61" spans="1:4" ht="15.75" customHeight="1">
      <c r="A61" s="9" t="s">
        <v>48</v>
      </c>
      <c r="B61" s="22" t="s">
        <v>84</v>
      </c>
      <c r="C61" s="118">
        <v>1.23</v>
      </c>
      <c r="D61" s="117">
        <f>C61*B8*8</f>
        <v>16794.912</v>
      </c>
    </row>
    <row r="62" spans="1:4" ht="12.75" customHeight="1">
      <c r="A62" s="9" t="s">
        <v>49</v>
      </c>
      <c r="B62" s="22" t="s">
        <v>84</v>
      </c>
      <c r="C62" s="118"/>
      <c r="D62" s="117"/>
    </row>
    <row r="63" spans="1:4" ht="15.75" customHeight="1">
      <c r="A63" s="9" t="s">
        <v>50</v>
      </c>
      <c r="B63" s="22" t="s">
        <v>84</v>
      </c>
      <c r="C63" s="118"/>
      <c r="D63" s="117"/>
    </row>
    <row r="64" spans="1:4" ht="16.5" customHeight="1">
      <c r="A64" s="9" t="s">
        <v>51</v>
      </c>
      <c r="B64" s="22" t="s">
        <v>84</v>
      </c>
      <c r="C64" s="118"/>
      <c r="D64" s="117"/>
    </row>
    <row r="65" spans="1:4" ht="39.75" customHeight="1">
      <c r="A65" s="10" t="s">
        <v>52</v>
      </c>
      <c r="B65" s="22" t="s">
        <v>23</v>
      </c>
      <c r="C65" s="118"/>
      <c r="D65" s="117"/>
    </row>
    <row r="66" spans="1:4" ht="16.5" customHeight="1">
      <c r="A66" s="10" t="s">
        <v>53</v>
      </c>
      <c r="B66" s="23" t="s">
        <v>85</v>
      </c>
      <c r="C66" s="118"/>
      <c r="D66" s="117"/>
    </row>
    <row r="67" spans="1:4">
      <c r="A67" s="121" t="s">
        <v>86</v>
      </c>
      <c r="B67" s="122"/>
      <c r="C67" s="122"/>
      <c r="D67" s="123"/>
    </row>
    <row r="68" spans="1:4" ht="26.25" customHeight="1">
      <c r="A68" s="139" t="s">
        <v>97</v>
      </c>
      <c r="B68" s="141" t="s">
        <v>87</v>
      </c>
      <c r="C68" s="118">
        <v>2.41</v>
      </c>
      <c r="D68" s="117">
        <f>C68*B8*8</f>
        <v>32907.103999999999</v>
      </c>
    </row>
    <row r="69" spans="1:4" ht="13.5" customHeight="1">
      <c r="A69" s="140"/>
      <c r="B69" s="141"/>
      <c r="C69" s="118"/>
      <c r="D69" s="117"/>
    </row>
    <row r="70" spans="1:4" ht="15" customHeight="1">
      <c r="A70" s="121" t="s">
        <v>56</v>
      </c>
      <c r="B70" s="122"/>
      <c r="C70" s="122"/>
      <c r="D70" s="123"/>
    </row>
    <row r="71" spans="1:4" ht="16.5" customHeight="1">
      <c r="A71" s="6" t="s">
        <v>91</v>
      </c>
      <c r="B71" s="21" t="s">
        <v>88</v>
      </c>
      <c r="C71" s="131">
        <v>2.14</v>
      </c>
      <c r="D71" s="133">
        <v>29221.96</v>
      </c>
    </row>
    <row r="72" spans="1:4">
      <c r="A72" s="6" t="s">
        <v>92</v>
      </c>
      <c r="B72" s="21" t="s">
        <v>88</v>
      </c>
      <c r="C72" s="132"/>
      <c r="D72" s="134"/>
    </row>
    <row r="73" spans="1:4" ht="15" customHeight="1">
      <c r="A73" s="6" t="s">
        <v>93</v>
      </c>
      <c r="B73" s="21" t="s">
        <v>88</v>
      </c>
      <c r="C73" s="130"/>
      <c r="D73" s="135"/>
    </row>
    <row r="74" spans="1:4" ht="38.25" customHeight="1">
      <c r="A74" s="6" t="s">
        <v>165</v>
      </c>
      <c r="B74" s="22" t="s">
        <v>23</v>
      </c>
      <c r="C74" s="101">
        <v>4.3499999999999996</v>
      </c>
      <c r="D74" s="101">
        <v>57368.47</v>
      </c>
    </row>
    <row r="75" spans="1:4" ht="18" customHeight="1">
      <c r="A75" s="6" t="s">
        <v>287</v>
      </c>
      <c r="B75" s="22"/>
      <c r="C75" s="101"/>
      <c r="D75" s="101">
        <v>-4954.3500000000004</v>
      </c>
    </row>
    <row r="76" spans="1:4">
      <c r="A76" s="99" t="s">
        <v>57</v>
      </c>
      <c r="B76" s="23"/>
      <c r="C76" s="28">
        <f>C74+C71+C68+C61+C48+C44+C37+C30+C26+C19+C16+C14+C13</f>
        <v>21.623850480431216</v>
      </c>
      <c r="D76" s="57">
        <f>D75+D74+D71+D68+D61+D48+D44+D37+D30+D26+D19+D16+D14+D13</f>
        <v>288279.728</v>
      </c>
    </row>
    <row r="77" spans="1:4">
      <c r="C77" t="s">
        <v>284</v>
      </c>
    </row>
    <row r="78" spans="1:4">
      <c r="D78" s="42">
        <v>201689.3</v>
      </c>
    </row>
    <row r="79" spans="1:4">
      <c r="D79" s="42">
        <f>D78+D74+D71</f>
        <v>288279.73</v>
      </c>
    </row>
    <row r="80" spans="1:4">
      <c r="D80" s="42">
        <f>D79-D76</f>
        <v>1.9999999785795808E-3</v>
      </c>
    </row>
    <row r="81" spans="3:4">
      <c r="C81">
        <f>15.13*8*58.4</f>
        <v>7068.7359999999999</v>
      </c>
      <c r="D81" s="42"/>
    </row>
  </sheetData>
  <mergeCells count="31">
    <mergeCell ref="C37:C42"/>
    <mergeCell ref="D37:D42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A43:D43"/>
    <mergeCell ref="C44:C46"/>
    <mergeCell ref="D44:D46"/>
    <mergeCell ref="A47:D47"/>
    <mergeCell ref="C48:C59"/>
    <mergeCell ref="D48:D59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81"/>
  <sheetViews>
    <sheetView topLeftCell="A55" workbookViewId="0">
      <selection activeCell="A67" sqref="A67:XFD6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351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1991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1715.9</v>
      </c>
      <c r="C8" s="2"/>
      <c r="D8" s="2"/>
    </row>
    <row r="9" spans="1:4">
      <c r="A9" s="25" t="s">
        <v>63</v>
      </c>
      <c r="B9" s="2">
        <v>173</v>
      </c>
      <c r="C9" s="2"/>
      <c r="D9" s="2"/>
    </row>
    <row r="10" spans="1:4">
      <c r="A10" s="25" t="s">
        <v>74</v>
      </c>
      <c r="B10" s="48">
        <v>442.4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1921.8080000000002</v>
      </c>
    </row>
    <row r="14" spans="1:4" ht="75.75" customHeight="1">
      <c r="A14" s="6" t="s">
        <v>90</v>
      </c>
      <c r="B14" s="103" t="s">
        <v>9</v>
      </c>
      <c r="C14" s="26">
        <v>2.79</v>
      </c>
      <c r="D14" s="29">
        <f>C14*8*B8</f>
        <v>38298.887999999999</v>
      </c>
    </row>
    <row r="15" spans="1:4">
      <c r="A15" s="6" t="s">
        <v>10</v>
      </c>
      <c r="B15" s="103"/>
      <c r="C15" s="26"/>
      <c r="D15" s="30"/>
    </row>
    <row r="16" spans="1:4">
      <c r="A16" s="6" t="s">
        <v>179</v>
      </c>
      <c r="B16" s="103" t="s">
        <v>108</v>
      </c>
      <c r="C16" s="46">
        <f>3750/8/B8</f>
        <v>0.27318025525963052</v>
      </c>
      <c r="D16" s="30">
        <f>C16*8*B8</f>
        <v>3750.0000000000005</v>
      </c>
    </row>
    <row r="17" spans="1:4">
      <c r="A17" s="124" t="s">
        <v>11</v>
      </c>
      <c r="B17" s="124"/>
      <c r="C17" s="124"/>
      <c r="D17" s="124"/>
    </row>
    <row r="18" spans="1:4" ht="13.5" customHeight="1">
      <c r="A18" s="41" t="s">
        <v>98</v>
      </c>
      <c r="B18" s="99"/>
      <c r="C18" s="99"/>
      <c r="D18" s="99"/>
    </row>
    <row r="19" spans="1:4" ht="13.5" customHeight="1">
      <c r="A19" s="6" t="s">
        <v>12</v>
      </c>
      <c r="B19" s="103" t="s">
        <v>76</v>
      </c>
      <c r="C19" s="118">
        <v>2.16</v>
      </c>
      <c r="D19" s="125">
        <f>C19*B8*8</f>
        <v>29650.752000000004</v>
      </c>
    </row>
    <row r="20" spans="1:4" ht="12.75" customHeight="1">
      <c r="A20" s="6" t="s">
        <v>13</v>
      </c>
      <c r="B20" s="103" t="s">
        <v>76</v>
      </c>
      <c r="C20" s="118"/>
      <c r="D20" s="126"/>
    </row>
    <row r="21" spans="1:4" ht="14.25" customHeight="1">
      <c r="A21" s="6" t="s">
        <v>14</v>
      </c>
      <c r="B21" s="103" t="s">
        <v>76</v>
      </c>
      <c r="C21" s="118"/>
      <c r="D21" s="126"/>
    </row>
    <row r="22" spans="1:4" ht="13.5" customHeight="1">
      <c r="A22" s="6" t="s">
        <v>15</v>
      </c>
      <c r="B22" s="103" t="s">
        <v>77</v>
      </c>
      <c r="C22" s="118"/>
      <c r="D22" s="126"/>
    </row>
    <row r="23" spans="1:4" ht="12.75" customHeight="1">
      <c r="A23" s="41" t="s">
        <v>94</v>
      </c>
      <c r="B23" s="103"/>
      <c r="C23" s="118"/>
      <c r="D23" s="126"/>
    </row>
    <row r="24" spans="1:4" ht="30" customHeight="1">
      <c r="A24" s="6" t="s">
        <v>16</v>
      </c>
      <c r="B24" s="103" t="s">
        <v>95</v>
      </c>
      <c r="C24" s="118"/>
      <c r="D24" s="127"/>
    </row>
    <row r="25" spans="1:4" ht="12.75" customHeight="1">
      <c r="A25" s="121" t="s">
        <v>17</v>
      </c>
      <c r="B25" s="122"/>
      <c r="C25" s="122"/>
      <c r="D25" s="123"/>
    </row>
    <row r="26" spans="1:4" ht="12" customHeight="1">
      <c r="A26" s="7" t="s">
        <v>18</v>
      </c>
      <c r="B26" s="21" t="s">
        <v>79</v>
      </c>
      <c r="C26" s="118">
        <v>0.2</v>
      </c>
      <c r="D26" s="128">
        <f>C26*B8*8</f>
        <v>2745.4400000000005</v>
      </c>
    </row>
    <row r="27" spans="1:4" ht="12" customHeight="1">
      <c r="A27" s="7" t="s">
        <v>19</v>
      </c>
      <c r="B27" s="21" t="s">
        <v>78</v>
      </c>
      <c r="C27" s="118"/>
      <c r="D27" s="128"/>
    </row>
    <row r="28" spans="1:4" ht="13.5" customHeight="1">
      <c r="A28" s="121" t="s">
        <v>20</v>
      </c>
      <c r="B28" s="122"/>
      <c r="C28" s="122"/>
      <c r="D28" s="123"/>
    </row>
    <row r="29" spans="1:4">
      <c r="A29" s="128" t="s">
        <v>21</v>
      </c>
      <c r="B29" s="128"/>
      <c r="C29" s="128"/>
      <c r="D29" s="128"/>
    </row>
    <row r="30" spans="1:4" ht="37.5" customHeight="1">
      <c r="A30" s="8" t="s">
        <v>22</v>
      </c>
      <c r="B30" s="22" t="s">
        <v>80</v>
      </c>
      <c r="C30" s="118">
        <v>0.61</v>
      </c>
      <c r="D30" s="117">
        <f>C30*B8*8</f>
        <v>8373.5920000000006</v>
      </c>
    </row>
    <row r="31" spans="1:4" ht="15" customHeight="1">
      <c r="A31" s="9" t="s">
        <v>24</v>
      </c>
      <c r="B31" s="23" t="s">
        <v>81</v>
      </c>
      <c r="C31" s="118"/>
      <c r="D31" s="126"/>
    </row>
    <row r="32" spans="1:4" ht="13.5" customHeight="1">
      <c r="A32" s="9" t="s">
        <v>26</v>
      </c>
      <c r="B32" s="23" t="s">
        <v>81</v>
      </c>
      <c r="C32" s="118"/>
      <c r="D32" s="126"/>
    </row>
    <row r="33" spans="1:4" ht="36" customHeight="1">
      <c r="A33" s="9" t="s">
        <v>27</v>
      </c>
      <c r="B33" s="22" t="s">
        <v>23</v>
      </c>
      <c r="C33" s="118"/>
      <c r="D33" s="126"/>
    </row>
    <row r="34" spans="1:4" ht="14.25" customHeight="1">
      <c r="A34" s="9" t="s">
        <v>28</v>
      </c>
      <c r="B34" s="22" t="s">
        <v>25</v>
      </c>
      <c r="C34" s="118"/>
      <c r="D34" s="126"/>
    </row>
    <row r="35" spans="1:4" ht="33.75" customHeight="1">
      <c r="A35" s="24" t="s">
        <v>29</v>
      </c>
      <c r="B35" s="22" t="s">
        <v>23</v>
      </c>
      <c r="C35" s="129"/>
      <c r="D35" s="127"/>
    </row>
    <row r="36" spans="1:4" ht="15.75" customHeight="1">
      <c r="A36" s="128" t="s">
        <v>66</v>
      </c>
      <c r="B36" s="128"/>
      <c r="C36" s="128"/>
      <c r="D36" s="128"/>
    </row>
    <row r="37" spans="1:4" ht="36.75" customHeight="1">
      <c r="A37" s="9" t="s">
        <v>67</v>
      </c>
      <c r="B37" s="22" t="s">
        <v>80</v>
      </c>
      <c r="C37" s="117">
        <v>1</v>
      </c>
      <c r="D37" s="118">
        <f>C37*B8*8</f>
        <v>13727.2</v>
      </c>
    </row>
    <row r="38" spans="1:4" ht="14.25" customHeight="1">
      <c r="A38" s="9" t="s">
        <v>68</v>
      </c>
      <c r="B38" s="22" t="s">
        <v>81</v>
      </c>
      <c r="C38" s="117"/>
      <c r="D38" s="119"/>
    </row>
    <row r="39" spans="1:4" ht="14.25" customHeight="1">
      <c r="A39" s="9" t="s">
        <v>69</v>
      </c>
      <c r="B39" s="22" t="s">
        <v>81</v>
      </c>
      <c r="C39" s="117"/>
      <c r="D39" s="119"/>
    </row>
    <row r="40" spans="1:4" ht="24" customHeight="1">
      <c r="A40" s="9" t="s">
        <v>70</v>
      </c>
      <c r="B40" s="22" t="s">
        <v>80</v>
      </c>
      <c r="C40" s="117"/>
      <c r="D40" s="119"/>
    </row>
    <row r="41" spans="1:4" ht="25.5" customHeight="1">
      <c r="A41" s="10" t="s">
        <v>71</v>
      </c>
      <c r="B41" s="22" t="s">
        <v>80</v>
      </c>
      <c r="C41" s="117"/>
      <c r="D41" s="119"/>
    </row>
    <row r="42" spans="1:4" ht="14.25" customHeight="1">
      <c r="A42" s="9" t="s">
        <v>72</v>
      </c>
      <c r="B42" s="22" t="s">
        <v>25</v>
      </c>
      <c r="C42" s="117"/>
      <c r="D42" s="120"/>
    </row>
    <row r="43" spans="1:4" ht="11.25" customHeight="1">
      <c r="A43" s="130" t="s">
        <v>30</v>
      </c>
      <c r="B43" s="130"/>
      <c r="C43" s="130"/>
      <c r="D43" s="130"/>
    </row>
    <row r="44" spans="1:4" ht="35.25" customHeight="1">
      <c r="A44" s="9" t="s">
        <v>31</v>
      </c>
      <c r="B44" s="22" t="s">
        <v>23</v>
      </c>
      <c r="C44" s="117">
        <v>0.7</v>
      </c>
      <c r="D44" s="118">
        <f>C44*8*B8</f>
        <v>9609.0399999999991</v>
      </c>
    </row>
    <row r="45" spans="1:4" ht="38.25" customHeight="1">
      <c r="A45" s="9" t="s">
        <v>32</v>
      </c>
      <c r="B45" s="22" t="s">
        <v>23</v>
      </c>
      <c r="C45" s="117"/>
      <c r="D45" s="118"/>
    </row>
    <row r="46" spans="1:4" ht="15" customHeight="1">
      <c r="A46" s="10" t="s">
        <v>33</v>
      </c>
      <c r="B46" s="22" t="s">
        <v>23</v>
      </c>
      <c r="C46" s="117"/>
      <c r="D46" s="118"/>
    </row>
    <row r="47" spans="1:4" ht="12.75" customHeight="1">
      <c r="A47" s="128" t="s">
        <v>34</v>
      </c>
      <c r="B47" s="128"/>
      <c r="C47" s="128"/>
      <c r="D47" s="128"/>
    </row>
    <row r="48" spans="1:4" ht="29.25" customHeight="1">
      <c r="A48" s="9" t="s">
        <v>35</v>
      </c>
      <c r="B48" s="22" t="s">
        <v>78</v>
      </c>
      <c r="C48" s="117">
        <v>3.68</v>
      </c>
      <c r="D48" s="117">
        <f>C48*8*B8</f>
        <v>50516.096000000005</v>
      </c>
    </row>
    <row r="49" spans="1:4" ht="14.25" customHeight="1">
      <c r="A49" s="9" t="s">
        <v>36</v>
      </c>
      <c r="B49" s="22" t="s">
        <v>82</v>
      </c>
      <c r="C49" s="117"/>
      <c r="D49" s="117"/>
    </row>
    <row r="50" spans="1:4" ht="17.25" customHeight="1">
      <c r="A50" s="9" t="s">
        <v>37</v>
      </c>
      <c r="B50" s="22" t="s">
        <v>82</v>
      </c>
      <c r="C50" s="117"/>
      <c r="D50" s="117"/>
    </row>
    <row r="51" spans="1:4" ht="24.75" customHeight="1">
      <c r="A51" s="9" t="s">
        <v>38</v>
      </c>
      <c r="B51" s="22" t="s">
        <v>83</v>
      </c>
      <c r="C51" s="117"/>
      <c r="D51" s="117"/>
    </row>
    <row r="52" spans="1:4" ht="30" customHeight="1">
      <c r="A52" s="9" t="s">
        <v>39</v>
      </c>
      <c r="B52" s="22" t="s">
        <v>83</v>
      </c>
      <c r="C52" s="117"/>
      <c r="D52" s="117"/>
    </row>
    <row r="53" spans="1:4" ht="12.75" customHeight="1">
      <c r="A53" s="99" t="s">
        <v>96</v>
      </c>
      <c r="B53" s="6"/>
      <c r="C53" s="117"/>
      <c r="D53" s="117"/>
    </row>
    <row r="54" spans="1:4" ht="35.25" customHeight="1">
      <c r="A54" s="9" t="s">
        <v>41</v>
      </c>
      <c r="B54" s="22" t="s">
        <v>80</v>
      </c>
      <c r="C54" s="117"/>
      <c r="D54" s="117"/>
    </row>
    <row r="55" spans="1:4" ht="14.25" customHeight="1">
      <c r="A55" s="9" t="s">
        <v>42</v>
      </c>
      <c r="B55" s="22" t="s">
        <v>81</v>
      </c>
      <c r="C55" s="117"/>
      <c r="D55" s="117"/>
    </row>
    <row r="56" spans="1:4" ht="14.25" customHeight="1">
      <c r="A56" s="9" t="s">
        <v>43</v>
      </c>
      <c r="B56" s="23" t="s">
        <v>81</v>
      </c>
      <c r="C56" s="117"/>
      <c r="D56" s="117"/>
    </row>
    <row r="57" spans="1:4" ht="13.5" customHeight="1">
      <c r="A57" s="9" t="s">
        <v>44</v>
      </c>
      <c r="B57" s="23" t="s">
        <v>81</v>
      </c>
      <c r="C57" s="117"/>
      <c r="D57" s="117"/>
    </row>
    <row r="58" spans="1:4" ht="13.5" customHeight="1">
      <c r="A58" s="9" t="s">
        <v>45</v>
      </c>
      <c r="B58" s="21" t="s">
        <v>285</v>
      </c>
      <c r="C58" s="117"/>
      <c r="D58" s="117"/>
    </row>
    <row r="59" spans="1:4" ht="36.75" customHeight="1">
      <c r="A59" s="10" t="s">
        <v>46</v>
      </c>
      <c r="B59" s="22" t="s">
        <v>23</v>
      </c>
      <c r="C59" s="117"/>
      <c r="D59" s="117"/>
    </row>
    <row r="60" spans="1:4">
      <c r="A60" s="128" t="s">
        <v>47</v>
      </c>
      <c r="B60" s="128"/>
      <c r="C60" s="128"/>
      <c r="D60" s="128"/>
    </row>
    <row r="61" spans="1:4" ht="15.75" customHeight="1">
      <c r="A61" s="9" t="s">
        <v>48</v>
      </c>
      <c r="B61" s="22" t="s">
        <v>84</v>
      </c>
      <c r="C61" s="118">
        <v>1.17</v>
      </c>
      <c r="D61" s="117">
        <f>C61*B8*8</f>
        <v>16060.824000000001</v>
      </c>
    </row>
    <row r="62" spans="1:4" ht="12.75" customHeight="1">
      <c r="A62" s="9" t="s">
        <v>49</v>
      </c>
      <c r="B62" s="22" t="s">
        <v>84</v>
      </c>
      <c r="C62" s="118"/>
      <c r="D62" s="117"/>
    </row>
    <row r="63" spans="1:4" ht="15.75" customHeight="1">
      <c r="A63" s="9" t="s">
        <v>50</v>
      </c>
      <c r="B63" s="22" t="s">
        <v>84</v>
      </c>
      <c r="C63" s="118"/>
      <c r="D63" s="117"/>
    </row>
    <row r="64" spans="1:4" ht="16.5" customHeight="1">
      <c r="A64" s="9" t="s">
        <v>51</v>
      </c>
      <c r="B64" s="22" t="s">
        <v>84</v>
      </c>
      <c r="C64" s="118"/>
      <c r="D64" s="117"/>
    </row>
    <row r="65" spans="1:4" ht="39.75" customHeight="1">
      <c r="A65" s="10" t="s">
        <v>52</v>
      </c>
      <c r="B65" s="22" t="s">
        <v>23</v>
      </c>
      <c r="C65" s="118"/>
      <c r="D65" s="117"/>
    </row>
    <row r="66" spans="1:4" ht="16.5" customHeight="1">
      <c r="A66" s="10" t="s">
        <v>53</v>
      </c>
      <c r="B66" s="23" t="s">
        <v>85</v>
      </c>
      <c r="C66" s="118"/>
      <c r="D66" s="117"/>
    </row>
    <row r="67" spans="1:4">
      <c r="A67" s="121" t="s">
        <v>86</v>
      </c>
      <c r="B67" s="122"/>
      <c r="C67" s="122"/>
      <c r="D67" s="123"/>
    </row>
    <row r="68" spans="1:4" ht="26.25" customHeight="1">
      <c r="A68" s="139" t="s">
        <v>97</v>
      </c>
      <c r="B68" s="141" t="s">
        <v>87</v>
      </c>
      <c r="C68" s="118">
        <v>2.41</v>
      </c>
      <c r="D68" s="117">
        <f>C68*B8*8</f>
        <v>33082.552000000003</v>
      </c>
    </row>
    <row r="69" spans="1:4" ht="13.5" customHeight="1">
      <c r="A69" s="140"/>
      <c r="B69" s="141"/>
      <c r="C69" s="118"/>
      <c r="D69" s="117"/>
    </row>
    <row r="70" spans="1:4" ht="15" customHeight="1">
      <c r="A70" s="121" t="s">
        <v>56</v>
      </c>
      <c r="B70" s="122"/>
      <c r="C70" s="122"/>
      <c r="D70" s="123"/>
    </row>
    <row r="71" spans="1:4" ht="16.5" customHeight="1">
      <c r="A71" s="6" t="s">
        <v>91</v>
      </c>
      <c r="B71" s="21" t="s">
        <v>88</v>
      </c>
      <c r="C71" s="131">
        <v>2.14</v>
      </c>
      <c r="D71" s="133">
        <v>29384.74</v>
      </c>
    </row>
    <row r="72" spans="1:4">
      <c r="A72" s="6" t="s">
        <v>92</v>
      </c>
      <c r="B72" s="21" t="s">
        <v>88</v>
      </c>
      <c r="C72" s="132"/>
      <c r="D72" s="134"/>
    </row>
    <row r="73" spans="1:4" ht="15" customHeight="1">
      <c r="A73" s="6" t="s">
        <v>93</v>
      </c>
      <c r="B73" s="21" t="s">
        <v>88</v>
      </c>
      <c r="C73" s="130"/>
      <c r="D73" s="135"/>
    </row>
    <row r="74" spans="1:4" ht="38.25" customHeight="1">
      <c r="A74" s="6" t="s">
        <v>165</v>
      </c>
      <c r="B74" s="22" t="s">
        <v>23</v>
      </c>
      <c r="C74" s="101">
        <v>4.3499999999999996</v>
      </c>
      <c r="D74" s="101">
        <v>57987.78</v>
      </c>
    </row>
    <row r="75" spans="1:4" ht="18" customHeight="1">
      <c r="A75" s="6" t="s">
        <v>247</v>
      </c>
      <c r="B75" s="22"/>
      <c r="C75" s="101"/>
      <c r="D75" s="101">
        <v>-6046.89</v>
      </c>
    </row>
    <row r="76" spans="1:4">
      <c r="A76" s="99" t="s">
        <v>57</v>
      </c>
      <c r="B76" s="23"/>
      <c r="C76" s="28">
        <f>C74+C71+C68+C61+C48+C44+C37+C30+C26+C19+C16+C14+C13</f>
        <v>21.62318025525963</v>
      </c>
      <c r="D76" s="57">
        <f>D75+D74+D71+D68+D61+D48+D44+D37+D30+D26+D19+D16+D14+D13</f>
        <v>289061.82200000004</v>
      </c>
    </row>
    <row r="77" spans="1:4">
      <c r="C77" t="s">
        <v>284</v>
      </c>
    </row>
    <row r="78" spans="1:4">
      <c r="D78" s="42"/>
    </row>
    <row r="79" spans="1:4">
      <c r="D79" s="42"/>
    </row>
    <row r="80" spans="1:4">
      <c r="D80" s="42"/>
    </row>
    <row r="81" spans="4:4">
      <c r="D81" s="42"/>
    </row>
  </sheetData>
  <mergeCells count="31">
    <mergeCell ref="C37:C42"/>
    <mergeCell ref="D37:D42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A43:D43"/>
    <mergeCell ref="C44:C46"/>
    <mergeCell ref="D44:D46"/>
    <mergeCell ref="A47:D47"/>
    <mergeCell ref="C48:C59"/>
    <mergeCell ref="D48:D59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83"/>
  <sheetViews>
    <sheetView tabSelected="1" topLeftCell="A53" workbookViewId="0">
      <selection activeCell="E68" sqref="E6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280</v>
      </c>
      <c r="B2" s="2"/>
      <c r="C2" s="2"/>
      <c r="D2" s="2"/>
    </row>
    <row r="3" spans="1:4">
      <c r="A3" s="1" t="s">
        <v>267</v>
      </c>
      <c r="B3" s="2"/>
      <c r="C3" s="2"/>
      <c r="D3" s="2"/>
    </row>
    <row r="4" spans="1:4">
      <c r="A4" s="25" t="s">
        <v>59</v>
      </c>
      <c r="B4" s="2">
        <v>1986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48</v>
      </c>
      <c r="C7" s="2"/>
      <c r="D7" s="2"/>
    </row>
    <row r="8" spans="1:4">
      <c r="A8" s="25" t="s">
        <v>73</v>
      </c>
      <c r="B8" s="2">
        <v>3781.3</v>
      </c>
      <c r="C8" s="2"/>
      <c r="D8" s="48"/>
    </row>
    <row r="9" spans="1:4">
      <c r="A9" s="25" t="s">
        <v>63</v>
      </c>
      <c r="B9" s="2">
        <v>404.5</v>
      </c>
      <c r="C9" s="2"/>
      <c r="D9" s="2"/>
    </row>
    <row r="10" spans="1:4">
      <c r="A10" s="25" t="s">
        <v>74</v>
      </c>
      <c r="B10" s="48">
        <v>1122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4235.0560000000005</v>
      </c>
    </row>
    <row r="14" spans="1:4" ht="75.75" customHeight="1">
      <c r="A14" s="6" t="s">
        <v>90</v>
      </c>
      <c r="B14" s="103" t="s">
        <v>9</v>
      </c>
      <c r="C14" s="26">
        <v>2.12</v>
      </c>
      <c r="D14" s="29">
        <f>C14*8*B8</f>
        <v>64130.848000000005</v>
      </c>
    </row>
    <row r="15" spans="1:4">
      <c r="A15" s="6" t="s">
        <v>10</v>
      </c>
      <c r="B15" s="103"/>
      <c r="C15" s="26"/>
      <c r="D15" s="30"/>
    </row>
    <row r="16" spans="1:4">
      <c r="A16" s="6" t="s">
        <v>281</v>
      </c>
      <c r="B16" s="103" t="s">
        <v>25</v>
      </c>
      <c r="C16" s="26">
        <v>0.26</v>
      </c>
      <c r="D16" s="30">
        <f>C16*8*B8</f>
        <v>7865.1040000000003</v>
      </c>
    </row>
    <row r="17" spans="1:4">
      <c r="A17" s="6" t="s">
        <v>282</v>
      </c>
      <c r="B17" s="103" t="s">
        <v>283</v>
      </c>
      <c r="C17" s="26">
        <v>0.46</v>
      </c>
      <c r="D17" s="30">
        <f>C17*8*B8</f>
        <v>13915.184000000001</v>
      </c>
    </row>
    <row r="18" spans="1:4">
      <c r="A18" s="6" t="s">
        <v>269</v>
      </c>
      <c r="B18" s="103" t="s">
        <v>25</v>
      </c>
      <c r="C18" s="46">
        <f>8564/8/B8</f>
        <v>0.28310369449660167</v>
      </c>
      <c r="D18" s="30">
        <f>C18*8*B8</f>
        <v>8564</v>
      </c>
    </row>
    <row r="19" spans="1:4">
      <c r="A19" s="124" t="s">
        <v>11</v>
      </c>
      <c r="B19" s="124"/>
      <c r="C19" s="124"/>
      <c r="D19" s="124"/>
    </row>
    <row r="20" spans="1:4" ht="13.5" customHeight="1">
      <c r="A20" s="41" t="s">
        <v>98</v>
      </c>
      <c r="B20" s="99"/>
      <c r="C20" s="99"/>
      <c r="D20" s="99"/>
    </row>
    <row r="21" spans="1:4" ht="13.5" customHeight="1">
      <c r="A21" s="6" t="s">
        <v>12</v>
      </c>
      <c r="B21" s="103" t="s">
        <v>76</v>
      </c>
      <c r="C21" s="118">
        <v>2.16</v>
      </c>
      <c r="D21" s="125">
        <f>C21*B8*8</f>
        <v>65340.864000000009</v>
      </c>
    </row>
    <row r="22" spans="1:4" ht="12.75" customHeight="1">
      <c r="A22" s="6" t="s">
        <v>13</v>
      </c>
      <c r="B22" s="103" t="s">
        <v>76</v>
      </c>
      <c r="C22" s="118"/>
      <c r="D22" s="126"/>
    </row>
    <row r="23" spans="1:4" ht="14.25" customHeight="1">
      <c r="A23" s="6" t="s">
        <v>14</v>
      </c>
      <c r="B23" s="103" t="s">
        <v>76</v>
      </c>
      <c r="C23" s="118"/>
      <c r="D23" s="126"/>
    </row>
    <row r="24" spans="1:4" ht="13.5" customHeight="1">
      <c r="A24" s="6" t="s">
        <v>15</v>
      </c>
      <c r="B24" s="103" t="s">
        <v>77</v>
      </c>
      <c r="C24" s="118"/>
      <c r="D24" s="126"/>
    </row>
    <row r="25" spans="1:4" ht="12.75" customHeight="1">
      <c r="A25" s="41" t="s">
        <v>94</v>
      </c>
      <c r="B25" s="103"/>
      <c r="C25" s="118"/>
      <c r="D25" s="126"/>
    </row>
    <row r="26" spans="1:4" ht="30" customHeight="1">
      <c r="A26" s="6" t="s">
        <v>16</v>
      </c>
      <c r="B26" s="103" t="s">
        <v>95</v>
      </c>
      <c r="C26" s="118"/>
      <c r="D26" s="127"/>
    </row>
    <row r="27" spans="1:4" ht="12.75" customHeight="1">
      <c r="A27" s="121" t="s">
        <v>17</v>
      </c>
      <c r="B27" s="122"/>
      <c r="C27" s="122"/>
      <c r="D27" s="123"/>
    </row>
    <row r="28" spans="1:4" ht="12" customHeight="1">
      <c r="A28" s="7" t="s">
        <v>18</v>
      </c>
      <c r="B28" s="21" t="s">
        <v>79</v>
      </c>
      <c r="C28" s="118">
        <v>0.2</v>
      </c>
      <c r="D28" s="128">
        <f>C28*B8*8</f>
        <v>6050.0800000000008</v>
      </c>
    </row>
    <row r="29" spans="1:4" ht="12" customHeight="1">
      <c r="A29" s="7" t="s">
        <v>19</v>
      </c>
      <c r="B29" s="21" t="s">
        <v>78</v>
      </c>
      <c r="C29" s="118"/>
      <c r="D29" s="128"/>
    </row>
    <row r="30" spans="1:4" ht="13.5" customHeight="1">
      <c r="A30" s="121" t="s">
        <v>20</v>
      </c>
      <c r="B30" s="122"/>
      <c r="C30" s="122"/>
      <c r="D30" s="123"/>
    </row>
    <row r="31" spans="1:4">
      <c r="A31" s="128" t="s">
        <v>21</v>
      </c>
      <c r="B31" s="128"/>
      <c r="C31" s="128"/>
      <c r="D31" s="128"/>
    </row>
    <row r="32" spans="1:4" ht="37.5" customHeight="1">
      <c r="A32" s="8" t="s">
        <v>22</v>
      </c>
      <c r="B32" s="22" t="s">
        <v>80</v>
      </c>
      <c r="C32" s="118">
        <v>0.61</v>
      </c>
      <c r="D32" s="117">
        <f>C32*B8*8</f>
        <v>18452.743999999999</v>
      </c>
    </row>
    <row r="33" spans="1:4" ht="15" customHeight="1">
      <c r="A33" s="9" t="s">
        <v>24</v>
      </c>
      <c r="B33" s="23" t="s">
        <v>112</v>
      </c>
      <c r="C33" s="118"/>
      <c r="D33" s="126"/>
    </row>
    <row r="34" spans="1:4" ht="13.5" customHeight="1">
      <c r="A34" s="9" t="s">
        <v>26</v>
      </c>
      <c r="B34" s="23" t="s">
        <v>112</v>
      </c>
      <c r="C34" s="118"/>
      <c r="D34" s="126"/>
    </row>
    <row r="35" spans="1:4" ht="36" customHeight="1">
      <c r="A35" s="9" t="s">
        <v>27</v>
      </c>
      <c r="B35" s="22" t="s">
        <v>23</v>
      </c>
      <c r="C35" s="118"/>
      <c r="D35" s="126"/>
    </row>
    <row r="36" spans="1:4" ht="14.25" customHeight="1">
      <c r="A36" s="9" t="s">
        <v>28</v>
      </c>
      <c r="B36" s="22" t="s">
        <v>25</v>
      </c>
      <c r="C36" s="118"/>
      <c r="D36" s="126"/>
    </row>
    <row r="37" spans="1:4" ht="33.75" customHeight="1">
      <c r="A37" s="24" t="s">
        <v>29</v>
      </c>
      <c r="B37" s="22" t="s">
        <v>23</v>
      </c>
      <c r="C37" s="129"/>
      <c r="D37" s="127"/>
    </row>
    <row r="38" spans="1:4" ht="15.75" customHeight="1">
      <c r="A38" s="128" t="s">
        <v>66</v>
      </c>
      <c r="B38" s="128"/>
      <c r="C38" s="128"/>
      <c r="D38" s="128"/>
    </row>
    <row r="39" spans="1:4" ht="36.75" customHeight="1">
      <c r="A39" s="9" t="s">
        <v>67</v>
      </c>
      <c r="B39" s="22" t="s">
        <v>80</v>
      </c>
      <c r="C39" s="117">
        <v>1</v>
      </c>
      <c r="D39" s="118">
        <f>C39*B8*8</f>
        <v>30250.400000000001</v>
      </c>
    </row>
    <row r="40" spans="1:4" ht="14.25" customHeight="1">
      <c r="A40" s="9" t="s">
        <v>68</v>
      </c>
      <c r="B40" s="22" t="s">
        <v>112</v>
      </c>
      <c r="C40" s="117"/>
      <c r="D40" s="119"/>
    </row>
    <row r="41" spans="1:4" ht="14.25" customHeight="1">
      <c r="A41" s="9" t="s">
        <v>69</v>
      </c>
      <c r="B41" s="22" t="s">
        <v>112</v>
      </c>
      <c r="C41" s="117"/>
      <c r="D41" s="119"/>
    </row>
    <row r="42" spans="1:4" ht="24" customHeight="1">
      <c r="A42" s="9" t="s">
        <v>70</v>
      </c>
      <c r="B42" s="22" t="s">
        <v>80</v>
      </c>
      <c r="C42" s="117"/>
      <c r="D42" s="119"/>
    </row>
    <row r="43" spans="1:4" ht="25.5" customHeight="1">
      <c r="A43" s="10" t="s">
        <v>71</v>
      </c>
      <c r="B43" s="22" t="s">
        <v>80</v>
      </c>
      <c r="C43" s="117"/>
      <c r="D43" s="119"/>
    </row>
    <row r="44" spans="1:4" ht="14.25" customHeight="1">
      <c r="A44" s="9" t="s">
        <v>72</v>
      </c>
      <c r="B44" s="22" t="s">
        <v>85</v>
      </c>
      <c r="C44" s="117"/>
      <c r="D44" s="120"/>
    </row>
    <row r="45" spans="1:4" ht="11.25" customHeight="1">
      <c r="A45" s="130" t="s">
        <v>30</v>
      </c>
      <c r="B45" s="130"/>
      <c r="C45" s="130"/>
      <c r="D45" s="130"/>
    </row>
    <row r="46" spans="1:4" ht="35.25" customHeight="1">
      <c r="A46" s="9" t="s">
        <v>31</v>
      </c>
      <c r="B46" s="22" t="s">
        <v>23</v>
      </c>
      <c r="C46" s="117">
        <v>0.7</v>
      </c>
      <c r="D46" s="118">
        <f>C46*8*B8</f>
        <v>21175.279999999999</v>
      </c>
    </row>
    <row r="47" spans="1:4" ht="38.25" customHeight="1">
      <c r="A47" s="9" t="s">
        <v>32</v>
      </c>
      <c r="B47" s="22" t="s">
        <v>23</v>
      </c>
      <c r="C47" s="117"/>
      <c r="D47" s="118"/>
    </row>
    <row r="48" spans="1:4" ht="15" customHeight="1">
      <c r="A48" s="10" t="s">
        <v>33</v>
      </c>
      <c r="B48" s="22" t="s">
        <v>23</v>
      </c>
      <c r="C48" s="117"/>
      <c r="D48" s="118"/>
    </row>
    <row r="49" spans="1:4" ht="12.75" customHeight="1">
      <c r="A49" s="128" t="s">
        <v>34</v>
      </c>
      <c r="B49" s="128"/>
      <c r="C49" s="128"/>
      <c r="D49" s="128"/>
    </row>
    <row r="50" spans="1:4" ht="29.25" customHeight="1">
      <c r="A50" s="9" t="s">
        <v>35</v>
      </c>
      <c r="B50" s="22" t="s">
        <v>78</v>
      </c>
      <c r="C50" s="117">
        <v>3.62</v>
      </c>
      <c r="D50" s="117">
        <f>C50*8*B8-10384.7</f>
        <v>99121.748000000007</v>
      </c>
    </row>
    <row r="51" spans="1:4" ht="14.25" customHeight="1">
      <c r="A51" s="9" t="s">
        <v>36</v>
      </c>
      <c r="B51" s="22" t="s">
        <v>82</v>
      </c>
      <c r="C51" s="117"/>
      <c r="D51" s="117"/>
    </row>
    <row r="52" spans="1:4" ht="17.25" customHeight="1">
      <c r="A52" s="9" t="s">
        <v>37</v>
      </c>
      <c r="B52" s="22" t="s">
        <v>82</v>
      </c>
      <c r="C52" s="117"/>
      <c r="D52" s="117"/>
    </row>
    <row r="53" spans="1:4" ht="24.75" customHeight="1">
      <c r="A53" s="9" t="s">
        <v>38</v>
      </c>
      <c r="B53" s="22" t="s">
        <v>83</v>
      </c>
      <c r="C53" s="117"/>
      <c r="D53" s="117"/>
    </row>
    <row r="54" spans="1:4" ht="30" customHeight="1">
      <c r="A54" s="9" t="s">
        <v>39</v>
      </c>
      <c r="B54" s="22" t="s">
        <v>83</v>
      </c>
      <c r="C54" s="117"/>
      <c r="D54" s="117"/>
    </row>
    <row r="55" spans="1:4" ht="12.75" customHeight="1">
      <c r="A55" s="99" t="s">
        <v>96</v>
      </c>
      <c r="B55" s="6"/>
      <c r="C55" s="117"/>
      <c r="D55" s="117"/>
    </row>
    <row r="56" spans="1:4" ht="35.25" customHeight="1">
      <c r="A56" s="9" t="s">
        <v>41</v>
      </c>
      <c r="B56" s="22" t="s">
        <v>80</v>
      </c>
      <c r="C56" s="117"/>
      <c r="D56" s="117"/>
    </row>
    <row r="57" spans="1:4" ht="14.25" customHeight="1">
      <c r="A57" s="9" t="s">
        <v>42</v>
      </c>
      <c r="B57" s="22" t="s">
        <v>108</v>
      </c>
      <c r="C57" s="117"/>
      <c r="D57" s="117"/>
    </row>
    <row r="58" spans="1:4" ht="14.25" customHeight="1">
      <c r="A58" s="9" t="s">
        <v>43</v>
      </c>
      <c r="B58" s="23" t="s">
        <v>108</v>
      </c>
      <c r="C58" s="117"/>
      <c r="D58" s="117"/>
    </row>
    <row r="59" spans="1:4" ht="13.5" customHeight="1">
      <c r="A59" s="9" t="s">
        <v>44</v>
      </c>
      <c r="B59" s="23" t="s">
        <v>108</v>
      </c>
      <c r="C59" s="117"/>
      <c r="D59" s="117"/>
    </row>
    <row r="60" spans="1:4" ht="13.5" customHeight="1">
      <c r="A60" s="9" t="s">
        <v>45</v>
      </c>
      <c r="B60" s="21" t="s">
        <v>279</v>
      </c>
      <c r="C60" s="117"/>
      <c r="D60" s="117"/>
    </row>
    <row r="61" spans="1:4" ht="36.75" customHeight="1">
      <c r="A61" s="10" t="s">
        <v>46</v>
      </c>
      <c r="B61" s="22" t="s">
        <v>23</v>
      </c>
      <c r="C61" s="117"/>
      <c r="D61" s="117"/>
    </row>
    <row r="62" spans="1:4" ht="22.5" customHeight="1">
      <c r="A62" s="10"/>
      <c r="B62" s="22"/>
      <c r="C62" s="96"/>
      <c r="D62" s="96"/>
    </row>
    <row r="63" spans="1:4">
      <c r="A63" s="128" t="s">
        <v>47</v>
      </c>
      <c r="B63" s="128"/>
      <c r="C63" s="128"/>
      <c r="D63" s="128"/>
    </row>
    <row r="64" spans="1:4" ht="15.75" customHeight="1">
      <c r="A64" s="9" t="s">
        <v>48</v>
      </c>
      <c r="B64" s="22" t="s">
        <v>84</v>
      </c>
      <c r="C64" s="129">
        <v>1.17</v>
      </c>
      <c r="D64" s="125">
        <f>C64*B8*8</f>
        <v>35392.968000000001</v>
      </c>
    </row>
    <row r="65" spans="1:4" ht="12.75" customHeight="1">
      <c r="A65" s="9" t="s">
        <v>49</v>
      </c>
      <c r="B65" s="22" t="s">
        <v>84</v>
      </c>
      <c r="C65" s="119"/>
      <c r="D65" s="126"/>
    </row>
    <row r="66" spans="1:4" ht="25.5" customHeight="1">
      <c r="A66" s="9" t="s">
        <v>50</v>
      </c>
      <c r="B66" s="22" t="s">
        <v>84</v>
      </c>
      <c r="C66" s="119"/>
      <c r="D66" s="126"/>
    </row>
    <row r="67" spans="1:4" ht="16.5" customHeight="1">
      <c r="A67" s="9" t="s">
        <v>51</v>
      </c>
      <c r="B67" s="22" t="s">
        <v>84</v>
      </c>
      <c r="C67" s="119"/>
      <c r="D67" s="126"/>
    </row>
    <row r="68" spans="1:4" ht="39.75" customHeight="1">
      <c r="A68" s="10" t="s">
        <v>52</v>
      </c>
      <c r="B68" s="22" t="s">
        <v>23</v>
      </c>
      <c r="C68" s="119"/>
      <c r="D68" s="126"/>
    </row>
    <row r="69" spans="1:4" ht="16.5" customHeight="1">
      <c r="A69" s="10" t="s">
        <v>53</v>
      </c>
      <c r="B69" s="23" t="s">
        <v>85</v>
      </c>
      <c r="C69" s="120"/>
      <c r="D69" s="127"/>
    </row>
    <row r="70" spans="1:4">
      <c r="A70" s="121" t="s">
        <v>86</v>
      </c>
      <c r="B70" s="122"/>
      <c r="C70" s="122"/>
      <c r="D70" s="123"/>
    </row>
    <row r="71" spans="1:4" ht="26.25" customHeight="1">
      <c r="A71" s="156" t="s">
        <v>97</v>
      </c>
      <c r="B71" s="141" t="s">
        <v>87</v>
      </c>
      <c r="C71" s="118">
        <v>2.41</v>
      </c>
      <c r="D71" s="117">
        <f>C71*B8*8</f>
        <v>72903.464000000007</v>
      </c>
    </row>
    <row r="72" spans="1:4" ht="13.5" customHeight="1">
      <c r="A72" s="157"/>
      <c r="B72" s="141"/>
      <c r="C72" s="118"/>
      <c r="D72" s="117"/>
    </row>
    <row r="73" spans="1:4" ht="15" customHeight="1">
      <c r="A73" s="121" t="s">
        <v>56</v>
      </c>
      <c r="B73" s="122"/>
      <c r="C73" s="122"/>
      <c r="D73" s="123"/>
    </row>
    <row r="74" spans="1:4" ht="16.5" customHeight="1">
      <c r="A74" s="6" t="s">
        <v>91</v>
      </c>
      <c r="B74" s="21" t="s">
        <v>88</v>
      </c>
      <c r="C74" s="131">
        <v>2.14</v>
      </c>
      <c r="D74" s="133">
        <v>63280.09</v>
      </c>
    </row>
    <row r="75" spans="1:4">
      <c r="A75" s="6" t="s">
        <v>92</v>
      </c>
      <c r="B75" s="21" t="s">
        <v>88</v>
      </c>
      <c r="C75" s="132"/>
      <c r="D75" s="134"/>
    </row>
    <row r="76" spans="1:4" ht="15" customHeight="1">
      <c r="A76" s="6" t="s">
        <v>93</v>
      </c>
      <c r="B76" s="21" t="s">
        <v>88</v>
      </c>
      <c r="C76" s="130"/>
      <c r="D76" s="135"/>
    </row>
    <row r="77" spans="1:4" ht="38.25" customHeight="1">
      <c r="A77" s="6" t="s">
        <v>165</v>
      </c>
      <c r="B77" s="22" t="s">
        <v>23</v>
      </c>
      <c r="C77" s="101">
        <v>4.3499999999999996</v>
      </c>
      <c r="D77" s="101">
        <v>138316.07999999999</v>
      </c>
    </row>
    <row r="78" spans="1:4">
      <c r="A78" s="99" t="s">
        <v>57</v>
      </c>
      <c r="B78" s="23"/>
      <c r="C78" s="28">
        <f>C77+C74+C71+C64+C50+C46+C39+C32+C28+C21+C18+C17+C16+C14+C13</f>
        <v>21.623103694496606</v>
      </c>
      <c r="D78" s="57">
        <f>D77+D74+D71+D64+D50+D46+D39+D32+D28+D21+D18+D17+D16+D14+D13</f>
        <v>648993.91000000015</v>
      </c>
    </row>
    <row r="80" spans="1:4">
      <c r="D80" s="42"/>
    </row>
    <row r="81" spans="4:4">
      <c r="D81" s="42"/>
    </row>
    <row r="82" spans="4:4">
      <c r="D82" s="42"/>
    </row>
    <row r="83" spans="4:4">
      <c r="D83" s="42"/>
    </row>
  </sheetData>
  <mergeCells count="31">
    <mergeCell ref="C39:C44"/>
    <mergeCell ref="D39:D44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  <mergeCell ref="A45:D45"/>
    <mergeCell ref="C46:C48"/>
    <mergeCell ref="D46:D48"/>
    <mergeCell ref="A49:D49"/>
    <mergeCell ref="C50:C61"/>
    <mergeCell ref="D50:D61"/>
    <mergeCell ref="A73:D73"/>
    <mergeCell ref="C74:C76"/>
    <mergeCell ref="D74:D76"/>
    <mergeCell ref="A63:D63"/>
    <mergeCell ref="A70:D70"/>
    <mergeCell ref="A71:A72"/>
    <mergeCell ref="B71:B72"/>
    <mergeCell ref="C71:C72"/>
    <mergeCell ref="D71:D72"/>
    <mergeCell ref="C64:C69"/>
    <mergeCell ref="D64:D6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82"/>
  <sheetViews>
    <sheetView topLeftCell="A59" workbookViewId="0">
      <selection activeCell="D63" sqref="D63:D6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278</v>
      </c>
      <c r="B2" s="2"/>
      <c r="C2" s="2"/>
      <c r="D2" s="2"/>
    </row>
    <row r="3" spans="1:4">
      <c r="A3" s="1" t="s">
        <v>267</v>
      </c>
      <c r="B3" s="2"/>
      <c r="C3" s="2"/>
      <c r="D3" s="2"/>
    </row>
    <row r="4" spans="1:4">
      <c r="A4" s="25" t="s">
        <v>59</v>
      </c>
      <c r="B4" s="2">
        <v>1983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27</v>
      </c>
      <c r="C7" s="2"/>
      <c r="D7" s="2"/>
    </row>
    <row r="8" spans="1:4">
      <c r="A8" s="25" t="s">
        <v>73</v>
      </c>
      <c r="B8" s="2">
        <v>1255.7</v>
      </c>
      <c r="C8" s="2"/>
      <c r="D8" s="48"/>
    </row>
    <row r="9" spans="1:4">
      <c r="A9" s="25" t="s">
        <v>63</v>
      </c>
      <c r="B9" s="2">
        <v>128</v>
      </c>
      <c r="C9" s="2"/>
      <c r="D9" s="2"/>
    </row>
    <row r="10" spans="1:4">
      <c r="A10" s="25" t="s">
        <v>74</v>
      </c>
      <c r="B10" s="48">
        <v>554.20000000000005</v>
      </c>
      <c r="C10" s="2"/>
      <c r="D10" s="2"/>
    </row>
    <row r="11" spans="1:4" ht="36.75">
      <c r="A11" s="103" t="s">
        <v>1</v>
      </c>
      <c r="B11" s="103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103" t="s">
        <v>7</v>
      </c>
      <c r="C13" s="97">
        <v>0.14000000000000001</v>
      </c>
      <c r="D13" s="29">
        <f>C13*8*B8</f>
        <v>1406.3840000000002</v>
      </c>
    </row>
    <row r="14" spans="1:4" ht="75.75" customHeight="1">
      <c r="A14" s="6" t="s">
        <v>90</v>
      </c>
      <c r="B14" s="103" t="s">
        <v>9</v>
      </c>
      <c r="C14" s="26">
        <v>2.12</v>
      </c>
      <c r="D14" s="29">
        <f>C14*8*B8</f>
        <v>21296.672000000002</v>
      </c>
    </row>
    <row r="15" spans="1:4">
      <c r="A15" s="6" t="s">
        <v>10</v>
      </c>
      <c r="B15" s="103"/>
      <c r="C15" s="26"/>
      <c r="D15" s="30"/>
    </row>
    <row r="16" spans="1:4">
      <c r="A16" s="6" t="s">
        <v>258</v>
      </c>
      <c r="B16" s="103" t="s">
        <v>89</v>
      </c>
      <c r="C16" s="26">
        <v>0.76</v>
      </c>
      <c r="D16" s="30">
        <f>C16*8*B8</f>
        <v>7634.6559999999999</v>
      </c>
    </row>
    <row r="17" spans="1:4">
      <c r="A17" s="6" t="s">
        <v>269</v>
      </c>
      <c r="B17" s="103" t="s">
        <v>89</v>
      </c>
      <c r="C17" s="46">
        <v>0.17</v>
      </c>
      <c r="D17" s="30">
        <f>C17*8*B8</f>
        <v>1707.7520000000002</v>
      </c>
    </row>
    <row r="18" spans="1:4">
      <c r="A18" s="124" t="s">
        <v>11</v>
      </c>
      <c r="B18" s="124"/>
      <c r="C18" s="124"/>
      <c r="D18" s="124"/>
    </row>
    <row r="19" spans="1:4" ht="13.5" customHeight="1">
      <c r="A19" s="41" t="s">
        <v>98</v>
      </c>
      <c r="B19" s="99"/>
      <c r="C19" s="99"/>
      <c r="D19" s="99"/>
    </row>
    <row r="20" spans="1:4" ht="13.5" customHeight="1">
      <c r="A20" s="6" t="s">
        <v>12</v>
      </c>
      <c r="B20" s="103" t="s">
        <v>76</v>
      </c>
      <c r="C20" s="118">
        <v>2.16</v>
      </c>
      <c r="D20" s="125">
        <f>C20*B8*8</f>
        <v>21698.496000000003</v>
      </c>
    </row>
    <row r="21" spans="1:4" ht="12.75" customHeight="1">
      <c r="A21" s="6" t="s">
        <v>13</v>
      </c>
      <c r="B21" s="103" t="s">
        <v>76</v>
      </c>
      <c r="C21" s="118"/>
      <c r="D21" s="126"/>
    </row>
    <row r="22" spans="1:4" ht="14.25" customHeight="1">
      <c r="A22" s="6" t="s">
        <v>14</v>
      </c>
      <c r="B22" s="103" t="s">
        <v>76</v>
      </c>
      <c r="C22" s="118"/>
      <c r="D22" s="126"/>
    </row>
    <row r="23" spans="1:4" ht="13.5" customHeight="1">
      <c r="A23" s="6" t="s">
        <v>15</v>
      </c>
      <c r="B23" s="103" t="s">
        <v>77</v>
      </c>
      <c r="C23" s="118"/>
      <c r="D23" s="126"/>
    </row>
    <row r="24" spans="1:4" ht="12.75" customHeight="1">
      <c r="A24" s="41" t="s">
        <v>94</v>
      </c>
      <c r="B24" s="103"/>
      <c r="C24" s="118"/>
      <c r="D24" s="126"/>
    </row>
    <row r="25" spans="1:4" ht="30" customHeight="1">
      <c r="A25" s="6" t="s">
        <v>16</v>
      </c>
      <c r="B25" s="103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C27*B8*8</f>
        <v>2009.1200000000001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0.61</v>
      </c>
      <c r="D31" s="117">
        <f>C31*B8*8</f>
        <v>6127.8159999999998</v>
      </c>
    </row>
    <row r="32" spans="1:4" ht="15" customHeight="1">
      <c r="A32" s="9" t="s">
        <v>24</v>
      </c>
      <c r="B32" s="23" t="s">
        <v>112</v>
      </c>
      <c r="C32" s="118"/>
      <c r="D32" s="126"/>
    </row>
    <row r="33" spans="1:4" ht="13.5" customHeight="1">
      <c r="A33" s="9" t="s">
        <v>26</v>
      </c>
      <c r="B33" s="23" t="s">
        <v>112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1</v>
      </c>
      <c r="D38" s="118">
        <f>C38*B8*8</f>
        <v>10045.6</v>
      </c>
    </row>
    <row r="39" spans="1:4" ht="14.25" customHeight="1">
      <c r="A39" s="9" t="s">
        <v>68</v>
      </c>
      <c r="B39" s="22" t="s">
        <v>112</v>
      </c>
      <c r="C39" s="117"/>
      <c r="D39" s="119"/>
    </row>
    <row r="40" spans="1:4" ht="14.25" customHeight="1">
      <c r="A40" s="9" t="s">
        <v>69</v>
      </c>
      <c r="B40" s="22" t="s">
        <v>112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85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0.7</v>
      </c>
      <c r="D45" s="118">
        <f>C45*8*B8</f>
        <v>7031.92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3.69</v>
      </c>
      <c r="D49" s="117">
        <f>C49*8*B8-21.03</f>
        <v>37047.234000000004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99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108</v>
      </c>
      <c r="C56" s="117"/>
      <c r="D56" s="117"/>
    </row>
    <row r="57" spans="1:4" ht="14.25" customHeight="1">
      <c r="A57" s="9" t="s">
        <v>43</v>
      </c>
      <c r="B57" s="23" t="s">
        <v>108</v>
      </c>
      <c r="C57" s="117"/>
      <c r="D57" s="117"/>
    </row>
    <row r="58" spans="1:4" ht="13.5" customHeight="1">
      <c r="A58" s="9" t="s">
        <v>44</v>
      </c>
      <c r="B58" s="23" t="s">
        <v>108</v>
      </c>
      <c r="C58" s="117"/>
      <c r="D58" s="117"/>
    </row>
    <row r="59" spans="1:4" ht="13.5" customHeight="1">
      <c r="A59" s="9" t="s">
        <v>45</v>
      </c>
      <c r="B59" s="21" t="s">
        <v>279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 ht="22.5" customHeight="1">
      <c r="A61" s="10"/>
      <c r="B61" s="22"/>
      <c r="C61" s="96"/>
      <c r="D61" s="96"/>
    </row>
    <row r="62" spans="1:4">
      <c r="A62" s="128" t="s">
        <v>47</v>
      </c>
      <c r="B62" s="128"/>
      <c r="C62" s="128"/>
      <c r="D62" s="128"/>
    </row>
    <row r="63" spans="1:4" ht="15.75" customHeight="1">
      <c r="A63" s="9" t="s">
        <v>48</v>
      </c>
      <c r="B63" s="22" t="s">
        <v>84</v>
      </c>
      <c r="C63" s="129">
        <v>1.17</v>
      </c>
      <c r="D63" s="125">
        <f>C63*B8*8</f>
        <v>11753.351999999999</v>
      </c>
    </row>
    <row r="64" spans="1:4" ht="12.75" customHeight="1">
      <c r="A64" s="9" t="s">
        <v>49</v>
      </c>
      <c r="B64" s="22" t="s">
        <v>84</v>
      </c>
      <c r="C64" s="119"/>
      <c r="D64" s="126"/>
    </row>
    <row r="65" spans="1:4" ht="22.5" customHeight="1">
      <c r="A65" s="9" t="s">
        <v>50</v>
      </c>
      <c r="B65" s="22" t="s">
        <v>84</v>
      </c>
      <c r="C65" s="119"/>
      <c r="D65" s="126"/>
    </row>
    <row r="66" spans="1:4" ht="16.5" customHeight="1">
      <c r="A66" s="9" t="s">
        <v>51</v>
      </c>
      <c r="B66" s="22" t="s">
        <v>84</v>
      </c>
      <c r="C66" s="119"/>
      <c r="D66" s="126"/>
    </row>
    <row r="67" spans="1:4" ht="39.75" customHeight="1">
      <c r="A67" s="10" t="s">
        <v>52</v>
      </c>
      <c r="B67" s="22" t="s">
        <v>23</v>
      </c>
      <c r="C67" s="119"/>
      <c r="D67" s="126"/>
    </row>
    <row r="68" spans="1:4" ht="16.5" customHeight="1">
      <c r="A68" s="10" t="s">
        <v>53</v>
      </c>
      <c r="B68" s="23" t="s">
        <v>85</v>
      </c>
      <c r="C68" s="120"/>
      <c r="D68" s="127"/>
    </row>
    <row r="69" spans="1:4">
      <c r="A69" s="121" t="s">
        <v>86</v>
      </c>
      <c r="B69" s="122"/>
      <c r="C69" s="122"/>
      <c r="D69" s="123"/>
    </row>
    <row r="70" spans="1:4" ht="26.25" customHeight="1">
      <c r="A70" s="156" t="s">
        <v>97</v>
      </c>
      <c r="B70" s="141" t="s">
        <v>87</v>
      </c>
      <c r="C70" s="118">
        <v>2.41</v>
      </c>
      <c r="D70" s="117">
        <f>C70*B8*8</f>
        <v>24209.896000000001</v>
      </c>
    </row>
    <row r="71" spans="1:4" ht="13.5" customHeight="1">
      <c r="A71" s="157"/>
      <c r="B71" s="141"/>
      <c r="C71" s="118"/>
      <c r="D71" s="117"/>
    </row>
    <row r="72" spans="1:4" ht="15" customHeight="1">
      <c r="A72" s="121" t="s">
        <v>56</v>
      </c>
      <c r="B72" s="122"/>
      <c r="C72" s="122"/>
      <c r="D72" s="123"/>
    </row>
    <row r="73" spans="1:4" ht="16.5" customHeight="1">
      <c r="A73" s="6" t="s">
        <v>91</v>
      </c>
      <c r="B73" s="21" t="s">
        <v>88</v>
      </c>
      <c r="C73" s="131">
        <v>2.14</v>
      </c>
      <c r="D73" s="133">
        <v>21494.68</v>
      </c>
    </row>
    <row r="74" spans="1:4">
      <c r="A74" s="6" t="s">
        <v>92</v>
      </c>
      <c r="B74" s="21" t="s">
        <v>88</v>
      </c>
      <c r="C74" s="132"/>
      <c r="D74" s="134"/>
    </row>
    <row r="75" spans="1:4" ht="15" customHeight="1">
      <c r="A75" s="6" t="s">
        <v>93</v>
      </c>
      <c r="B75" s="21" t="s">
        <v>88</v>
      </c>
      <c r="C75" s="130"/>
      <c r="D75" s="135"/>
    </row>
    <row r="76" spans="1:4" ht="38.25" customHeight="1">
      <c r="A76" s="6" t="s">
        <v>165</v>
      </c>
      <c r="B76" s="22" t="s">
        <v>23</v>
      </c>
      <c r="C76" s="101">
        <v>4.3499999999999996</v>
      </c>
      <c r="D76" s="101">
        <v>46461.31</v>
      </c>
    </row>
    <row r="77" spans="1:4">
      <c r="A77" s="99" t="s">
        <v>57</v>
      </c>
      <c r="B77" s="23"/>
      <c r="C77" s="28">
        <f>C76+C73+C70+C63+C49+C45+C38+C31+C27+C20+C17+C16+C14+C13</f>
        <v>21.620000000000005</v>
      </c>
      <c r="D77" s="57">
        <f>D76+D73+D70+D63+D49+D45+D38+D31+D27+D20+D17+D16+D14+D13</f>
        <v>219924.88800000001</v>
      </c>
    </row>
    <row r="79" spans="1:4">
      <c r="D79" s="42"/>
    </row>
    <row r="80" spans="1:4">
      <c r="D80" s="42"/>
    </row>
    <row r="81" spans="4:4">
      <c r="D81" s="42"/>
    </row>
    <row r="82" spans="4:4">
      <c r="D82" s="42"/>
    </row>
  </sheetData>
  <mergeCells count="31">
    <mergeCell ref="C38:C43"/>
    <mergeCell ref="D38:D4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  <mergeCell ref="A44:D44"/>
    <mergeCell ref="C45:C47"/>
    <mergeCell ref="D45:D47"/>
    <mergeCell ref="A48:D48"/>
    <mergeCell ref="C49:C60"/>
    <mergeCell ref="D49:D60"/>
    <mergeCell ref="A72:D72"/>
    <mergeCell ref="C73:C75"/>
    <mergeCell ref="D73:D75"/>
    <mergeCell ref="A62:D62"/>
    <mergeCell ref="A69:D69"/>
    <mergeCell ref="A70:A71"/>
    <mergeCell ref="B70:B71"/>
    <mergeCell ref="C70:C71"/>
    <mergeCell ref="D70:D71"/>
    <mergeCell ref="C63:C68"/>
    <mergeCell ref="D63:D6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83"/>
  <sheetViews>
    <sheetView topLeftCell="A52" workbookViewId="0">
      <selection activeCell="A74" sqref="A74"/>
    </sheetView>
  </sheetViews>
  <sheetFormatPr defaultRowHeight="15"/>
  <cols>
    <col min="1" max="1" width="87.42578125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64</v>
      </c>
      <c r="E1" s="2"/>
      <c r="F1" s="2"/>
      <c r="G1" s="2"/>
    </row>
    <row r="2" spans="1:7">
      <c r="A2" s="1" t="s">
        <v>274</v>
      </c>
      <c r="B2" s="2"/>
      <c r="C2" s="2"/>
      <c r="D2" s="2"/>
      <c r="E2" s="2"/>
      <c r="F2" s="2"/>
      <c r="G2" s="2"/>
    </row>
    <row r="3" spans="1:7">
      <c r="A3" s="1" t="s">
        <v>273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59</v>
      </c>
      <c r="B5" s="2">
        <v>1985</v>
      </c>
      <c r="C5" s="2"/>
      <c r="D5" s="2"/>
      <c r="E5" s="2"/>
      <c r="F5" s="2"/>
      <c r="G5" s="2"/>
    </row>
    <row r="6" spans="1:7">
      <c r="A6" s="25" t="s">
        <v>60</v>
      </c>
      <c r="B6" s="2">
        <v>5</v>
      </c>
      <c r="C6" s="2"/>
      <c r="D6" s="2"/>
      <c r="E6" s="2"/>
      <c r="F6" s="2"/>
      <c r="G6" s="2"/>
    </row>
    <row r="7" spans="1:7">
      <c r="A7" s="25" t="s">
        <v>61</v>
      </c>
      <c r="B7" s="2">
        <v>2</v>
      </c>
      <c r="C7" s="2"/>
      <c r="D7" s="2"/>
      <c r="E7" s="2"/>
      <c r="F7" s="2"/>
      <c r="G7" s="2"/>
    </row>
    <row r="8" spans="1:7">
      <c r="A8" s="25" t="s">
        <v>62</v>
      </c>
      <c r="B8" s="2">
        <v>56</v>
      </c>
      <c r="C8" s="2"/>
      <c r="D8" s="2"/>
      <c r="E8" s="2"/>
      <c r="F8" s="2"/>
      <c r="G8" s="2"/>
    </row>
    <row r="9" spans="1:7">
      <c r="A9" s="25" t="s">
        <v>73</v>
      </c>
      <c r="B9" s="2">
        <v>1974.9</v>
      </c>
      <c r="C9" s="2"/>
      <c r="D9" s="2"/>
      <c r="E9" s="2"/>
      <c r="F9" s="2"/>
      <c r="G9" s="2"/>
    </row>
    <row r="10" spans="1:7">
      <c r="A10" s="25" t="s">
        <v>63</v>
      </c>
      <c r="B10" s="2">
        <v>416.1</v>
      </c>
      <c r="C10" s="2"/>
      <c r="D10" s="2"/>
      <c r="E10" s="2"/>
      <c r="F10" s="2"/>
      <c r="G10" s="2"/>
    </row>
    <row r="11" spans="1:7">
      <c r="A11" s="25" t="s">
        <v>74</v>
      </c>
      <c r="B11" s="48" t="s">
        <v>101</v>
      </c>
      <c r="C11" s="2"/>
      <c r="D11" s="2"/>
      <c r="E11" s="2"/>
      <c r="F11" s="2"/>
      <c r="G11" s="2"/>
    </row>
    <row r="12" spans="1:7" ht="45.75" customHeight="1">
      <c r="A12" s="103" t="s">
        <v>1</v>
      </c>
      <c r="B12" s="103" t="s">
        <v>2</v>
      </c>
      <c r="C12" s="103" t="s">
        <v>3</v>
      </c>
      <c r="D12" s="103" t="s">
        <v>4</v>
      </c>
      <c r="E12" s="142"/>
      <c r="F12" s="142"/>
      <c r="G12" s="142"/>
    </row>
    <row r="13" spans="1:7">
      <c r="A13" s="153" t="s">
        <v>5</v>
      </c>
      <c r="B13" s="154"/>
      <c r="C13" s="154"/>
      <c r="D13" s="155"/>
      <c r="E13" s="142"/>
      <c r="F13" s="142"/>
      <c r="G13" s="142"/>
    </row>
    <row r="14" spans="1:7" ht="87" customHeight="1">
      <c r="A14" s="6" t="s">
        <v>6</v>
      </c>
      <c r="B14" s="103" t="s">
        <v>7</v>
      </c>
      <c r="C14" s="97">
        <v>0.13</v>
      </c>
      <c r="D14" s="103">
        <f>C14*B9*8</f>
        <v>2053.8960000000002</v>
      </c>
      <c r="E14" s="142"/>
      <c r="F14" s="142"/>
      <c r="G14" s="142"/>
    </row>
    <row r="15" spans="1:7" ht="73.5" customHeight="1">
      <c r="A15" s="6" t="s">
        <v>8</v>
      </c>
      <c r="B15" s="103" t="s">
        <v>9</v>
      </c>
      <c r="C15" s="26">
        <v>1.55</v>
      </c>
      <c r="D15" s="26">
        <f>C15*8*B9</f>
        <v>24488.760000000002</v>
      </c>
      <c r="E15" s="142"/>
      <c r="F15" s="143"/>
      <c r="G15" s="143"/>
    </row>
    <row r="16" spans="1:7">
      <c r="A16" s="6" t="s">
        <v>10</v>
      </c>
      <c r="B16" s="103"/>
      <c r="C16" s="26"/>
      <c r="D16" s="26"/>
      <c r="E16" s="142"/>
      <c r="F16" s="143"/>
      <c r="G16" s="143"/>
    </row>
    <row r="17" spans="1:7">
      <c r="A17" s="6" t="s">
        <v>277</v>
      </c>
      <c r="B17" s="103" t="s">
        <v>89</v>
      </c>
      <c r="C17" s="46">
        <f>7860/8/B9</f>
        <v>0.4974935439769102</v>
      </c>
      <c r="D17" s="30">
        <f>C17*8*B9</f>
        <v>7860</v>
      </c>
    </row>
    <row r="18" spans="1:7">
      <c r="A18" s="6" t="s">
        <v>276</v>
      </c>
      <c r="B18" s="103" t="s">
        <v>81</v>
      </c>
      <c r="C18" s="46">
        <v>1.02</v>
      </c>
      <c r="D18" s="30">
        <f>C18*8*B9</f>
        <v>16115.184000000001</v>
      </c>
    </row>
    <row r="19" spans="1:7">
      <c r="A19" s="6" t="s">
        <v>275</v>
      </c>
      <c r="B19" s="103" t="s">
        <v>108</v>
      </c>
      <c r="C19" s="26">
        <v>0.13</v>
      </c>
      <c r="D19" s="30">
        <f>C19*8*B9</f>
        <v>2053.8960000000002</v>
      </c>
    </row>
    <row r="20" spans="1:7">
      <c r="A20" s="6" t="s">
        <v>132</v>
      </c>
      <c r="B20" s="103" t="s">
        <v>89</v>
      </c>
      <c r="C20" s="26">
        <v>0.48</v>
      </c>
      <c r="D20" s="30">
        <f>C20*8*B9</f>
        <v>7583.616</v>
      </c>
    </row>
    <row r="21" spans="1:7" ht="12" customHeight="1">
      <c r="A21" s="149" t="s">
        <v>11</v>
      </c>
      <c r="B21" s="150"/>
      <c r="C21" s="150"/>
      <c r="D21" s="151"/>
      <c r="E21" s="152"/>
      <c r="F21" s="142"/>
      <c r="G21" s="142"/>
    </row>
    <row r="22" spans="1:7" ht="11.25" customHeight="1">
      <c r="A22" s="6" t="s">
        <v>12</v>
      </c>
      <c r="B22" s="103" t="s">
        <v>76</v>
      </c>
      <c r="C22" s="129">
        <v>2.16</v>
      </c>
      <c r="D22" s="129">
        <f>C22*8*B9</f>
        <v>34126.272000000004</v>
      </c>
      <c r="E22" s="152"/>
      <c r="F22" s="142"/>
      <c r="G22" s="142"/>
    </row>
    <row r="23" spans="1:7" ht="13.5" customHeight="1">
      <c r="A23" s="6" t="s">
        <v>13</v>
      </c>
      <c r="B23" s="103" t="s">
        <v>76</v>
      </c>
      <c r="C23" s="119"/>
      <c r="D23" s="119"/>
      <c r="E23" s="152"/>
      <c r="F23" s="142"/>
      <c r="G23" s="142"/>
    </row>
    <row r="24" spans="1:7" ht="12.75" customHeight="1">
      <c r="A24" s="6" t="s">
        <v>14</v>
      </c>
      <c r="B24" s="103" t="s">
        <v>76</v>
      </c>
      <c r="C24" s="119"/>
      <c r="D24" s="119"/>
      <c r="E24" s="152"/>
      <c r="F24" s="142"/>
      <c r="G24" s="142"/>
    </row>
    <row r="25" spans="1:7" ht="12" customHeight="1">
      <c r="A25" s="6" t="s">
        <v>15</v>
      </c>
      <c r="B25" s="103" t="s">
        <v>77</v>
      </c>
      <c r="C25" s="119"/>
      <c r="D25" s="119"/>
      <c r="E25" s="152"/>
      <c r="F25" s="142"/>
      <c r="G25" s="142"/>
    </row>
    <row r="26" spans="1:7" ht="24" customHeight="1">
      <c r="A26" s="6" t="s">
        <v>16</v>
      </c>
      <c r="B26" s="103" t="s">
        <v>95</v>
      </c>
      <c r="C26" s="120"/>
      <c r="D26" s="120"/>
      <c r="E26" s="152"/>
      <c r="F26" s="142"/>
      <c r="G26" s="142"/>
    </row>
    <row r="27" spans="1:7" ht="12" customHeight="1">
      <c r="A27" s="149" t="s">
        <v>17</v>
      </c>
      <c r="B27" s="150"/>
      <c r="C27" s="150"/>
      <c r="D27" s="151"/>
      <c r="E27" s="152"/>
      <c r="F27" s="142"/>
      <c r="G27" s="142"/>
    </row>
    <row r="28" spans="1:7" ht="12" customHeight="1">
      <c r="A28" s="7" t="s">
        <v>18</v>
      </c>
      <c r="B28" s="21" t="s">
        <v>79</v>
      </c>
      <c r="C28" s="118">
        <v>0.2</v>
      </c>
      <c r="D28" s="128">
        <f>C28*8*B9</f>
        <v>3159.84</v>
      </c>
      <c r="E28" s="15"/>
    </row>
    <row r="29" spans="1:7" ht="12" customHeight="1">
      <c r="A29" s="7" t="s">
        <v>19</v>
      </c>
      <c r="B29" s="21" t="s">
        <v>78</v>
      </c>
      <c r="C29" s="118"/>
      <c r="D29" s="128"/>
      <c r="E29" s="50"/>
    </row>
    <row r="30" spans="1:7" ht="12" customHeight="1">
      <c r="A30" s="124" t="s">
        <v>20</v>
      </c>
      <c r="B30" s="124"/>
      <c r="C30" s="124"/>
      <c r="D30" s="124"/>
      <c r="E30" s="142"/>
      <c r="F30" s="143"/>
      <c r="G30" s="143"/>
    </row>
    <row r="31" spans="1:7" ht="12" customHeight="1">
      <c r="A31" s="128" t="s">
        <v>21</v>
      </c>
      <c r="B31" s="128"/>
      <c r="C31" s="128"/>
      <c r="D31" s="128"/>
      <c r="E31" s="142"/>
      <c r="F31" s="143"/>
      <c r="G31" s="143"/>
    </row>
    <row r="32" spans="1:7" ht="41.25" customHeight="1">
      <c r="A32" s="8" t="s">
        <v>22</v>
      </c>
      <c r="B32" s="22" t="s">
        <v>80</v>
      </c>
      <c r="C32" s="118">
        <v>0.54</v>
      </c>
      <c r="D32" s="118">
        <f>C32*8*B9</f>
        <v>8531.5680000000011</v>
      </c>
      <c r="E32" s="142"/>
      <c r="F32" s="143"/>
      <c r="G32" s="143"/>
    </row>
    <row r="33" spans="1:7" ht="14.25" customHeight="1">
      <c r="A33" s="9" t="s">
        <v>24</v>
      </c>
      <c r="B33" s="23" t="s">
        <v>81</v>
      </c>
      <c r="C33" s="118"/>
      <c r="D33" s="118"/>
      <c r="E33" s="142"/>
      <c r="F33" s="143"/>
      <c r="G33" s="143"/>
    </row>
    <row r="34" spans="1:7" ht="12" customHeight="1">
      <c r="A34" s="9" t="s">
        <v>26</v>
      </c>
      <c r="B34" s="23" t="s">
        <v>81</v>
      </c>
      <c r="C34" s="118"/>
      <c r="D34" s="118"/>
      <c r="E34" s="142"/>
      <c r="F34" s="143"/>
      <c r="G34" s="143"/>
    </row>
    <row r="35" spans="1:7" ht="42.75" customHeight="1">
      <c r="A35" s="9" t="s">
        <v>27</v>
      </c>
      <c r="B35" s="22" t="s">
        <v>80</v>
      </c>
      <c r="C35" s="118"/>
      <c r="D35" s="118"/>
      <c r="E35" s="142"/>
      <c r="F35" s="143"/>
      <c r="G35" s="143"/>
    </row>
    <row r="36" spans="1:7" ht="12" customHeight="1">
      <c r="A36" s="9" t="s">
        <v>28</v>
      </c>
      <c r="B36" s="22" t="s">
        <v>25</v>
      </c>
      <c r="C36" s="118"/>
      <c r="D36" s="118"/>
      <c r="E36" s="142"/>
      <c r="F36" s="143"/>
      <c r="G36" s="143"/>
    </row>
    <row r="37" spans="1:7" ht="42" customHeight="1">
      <c r="A37" s="10" t="s">
        <v>29</v>
      </c>
      <c r="B37" s="22" t="s">
        <v>80</v>
      </c>
      <c r="C37" s="118"/>
      <c r="D37" s="118"/>
      <c r="E37" s="142"/>
      <c r="F37" s="143"/>
      <c r="G37" s="143"/>
    </row>
    <row r="38" spans="1:7" ht="12" customHeight="1">
      <c r="A38" s="128" t="s">
        <v>30</v>
      </c>
      <c r="B38" s="128"/>
      <c r="C38" s="128"/>
      <c r="D38" s="128"/>
      <c r="E38" s="142"/>
      <c r="F38" s="143"/>
      <c r="G38" s="143"/>
    </row>
    <row r="39" spans="1:7" ht="39" customHeight="1">
      <c r="A39" s="9" t="s">
        <v>31</v>
      </c>
      <c r="B39" s="22" t="s">
        <v>80</v>
      </c>
      <c r="C39" s="118">
        <v>0.62</v>
      </c>
      <c r="D39" s="118">
        <f>C39*8*B9</f>
        <v>9795.5040000000008</v>
      </c>
      <c r="E39" s="142"/>
      <c r="F39" s="143"/>
      <c r="G39" s="143"/>
    </row>
    <row r="40" spans="1:7" ht="34.5" customHeight="1">
      <c r="A40" s="9" t="s">
        <v>32</v>
      </c>
      <c r="B40" s="22" t="s">
        <v>80</v>
      </c>
      <c r="C40" s="118"/>
      <c r="D40" s="118"/>
      <c r="E40" s="142"/>
      <c r="F40" s="143"/>
      <c r="G40" s="143"/>
    </row>
    <row r="41" spans="1:7" ht="38.25" customHeight="1">
      <c r="A41" s="10" t="s">
        <v>33</v>
      </c>
      <c r="B41" s="22" t="s">
        <v>80</v>
      </c>
      <c r="C41" s="118"/>
      <c r="D41" s="118"/>
      <c r="E41" s="142"/>
      <c r="F41" s="143"/>
      <c r="G41" s="143"/>
    </row>
    <row r="42" spans="1:7" ht="12" customHeight="1">
      <c r="A42" s="128" t="s">
        <v>34</v>
      </c>
      <c r="B42" s="128"/>
      <c r="C42" s="128"/>
      <c r="D42" s="128"/>
      <c r="E42" s="142"/>
      <c r="F42" s="143"/>
      <c r="G42" s="143"/>
    </row>
    <row r="43" spans="1:7" ht="26.25" customHeight="1">
      <c r="A43" s="9" t="s">
        <v>35</v>
      </c>
      <c r="B43" s="22" t="s">
        <v>113</v>
      </c>
      <c r="C43" s="118">
        <v>2.72</v>
      </c>
      <c r="D43" s="118">
        <f>C43*8*B9</f>
        <v>42973.824000000008</v>
      </c>
      <c r="E43" s="142"/>
      <c r="F43" s="143"/>
      <c r="G43" s="143"/>
    </row>
    <row r="44" spans="1:7" ht="15" customHeight="1">
      <c r="A44" s="9" t="s">
        <v>36</v>
      </c>
      <c r="B44" s="22" t="s">
        <v>114</v>
      </c>
      <c r="C44" s="118"/>
      <c r="D44" s="118"/>
      <c r="E44" s="142"/>
      <c r="F44" s="143"/>
      <c r="G44" s="143"/>
    </row>
    <row r="45" spans="1:7" ht="14.25" customHeight="1">
      <c r="A45" s="9" t="s">
        <v>37</v>
      </c>
      <c r="B45" s="22" t="s">
        <v>85</v>
      </c>
      <c r="C45" s="118"/>
      <c r="D45" s="118"/>
      <c r="E45" s="142"/>
      <c r="F45" s="143"/>
      <c r="G45" s="143"/>
    </row>
    <row r="46" spans="1:7" ht="33" customHeight="1">
      <c r="A46" s="9" t="s">
        <v>38</v>
      </c>
      <c r="B46" s="22" t="s">
        <v>83</v>
      </c>
      <c r="C46" s="118"/>
      <c r="D46" s="118"/>
      <c r="E46" s="142"/>
      <c r="F46" s="143"/>
      <c r="G46" s="143"/>
    </row>
    <row r="47" spans="1:7" ht="27" customHeight="1">
      <c r="A47" s="9" t="s">
        <v>39</v>
      </c>
      <c r="B47" s="22" t="s">
        <v>83</v>
      </c>
      <c r="C47" s="118"/>
      <c r="D47" s="118"/>
      <c r="E47" s="142"/>
      <c r="F47" s="143"/>
      <c r="G47" s="143"/>
    </row>
    <row r="48" spans="1:7" ht="13.5" customHeight="1">
      <c r="A48" s="99" t="s">
        <v>40</v>
      </c>
      <c r="B48" s="6"/>
      <c r="C48" s="118"/>
      <c r="D48" s="118"/>
      <c r="E48" s="142"/>
      <c r="F48" s="143"/>
      <c r="G48" s="143"/>
    </row>
    <row r="49" spans="1:7" ht="42" customHeight="1">
      <c r="A49" s="9" t="s">
        <v>41</v>
      </c>
      <c r="B49" s="22" t="s">
        <v>80</v>
      </c>
      <c r="C49" s="118"/>
      <c r="D49" s="118"/>
      <c r="E49" s="4"/>
      <c r="F49" s="4"/>
      <c r="G49" s="4"/>
    </row>
    <row r="50" spans="1:7" ht="14.25" customHeight="1">
      <c r="A50" s="9" t="s">
        <v>42</v>
      </c>
      <c r="B50" s="22" t="s">
        <v>25</v>
      </c>
      <c r="C50" s="118"/>
      <c r="D50" s="118"/>
      <c r="E50" s="4"/>
      <c r="F50" s="4"/>
      <c r="G50" s="4"/>
    </row>
    <row r="51" spans="1:7" ht="15" customHeight="1">
      <c r="A51" s="9" t="s">
        <v>43</v>
      </c>
      <c r="B51" s="23" t="s">
        <v>25</v>
      </c>
      <c r="C51" s="118"/>
      <c r="D51" s="118"/>
      <c r="E51" s="4"/>
      <c r="F51" s="4"/>
      <c r="G51" s="4"/>
    </row>
    <row r="52" spans="1:7" ht="15.75" customHeight="1">
      <c r="A52" s="9" t="s">
        <v>44</v>
      </c>
      <c r="B52" s="23" t="s">
        <v>25</v>
      </c>
      <c r="C52" s="118"/>
      <c r="D52" s="118"/>
      <c r="E52" s="4"/>
      <c r="F52" s="4"/>
      <c r="G52" s="4"/>
    </row>
    <row r="53" spans="1:7" ht="18.75" customHeight="1">
      <c r="A53" s="9" t="s">
        <v>45</v>
      </c>
      <c r="B53" s="21" t="s">
        <v>231</v>
      </c>
      <c r="C53" s="118"/>
      <c r="D53" s="118"/>
      <c r="E53" s="5"/>
      <c r="F53" s="4"/>
      <c r="G53" s="4"/>
    </row>
    <row r="54" spans="1:7" ht="42" customHeight="1">
      <c r="A54" s="10" t="s">
        <v>46</v>
      </c>
      <c r="B54" s="22" t="s">
        <v>80</v>
      </c>
      <c r="C54" s="118"/>
      <c r="D54" s="118"/>
      <c r="E54" s="5"/>
      <c r="F54" s="4"/>
      <c r="G54" s="4"/>
    </row>
    <row r="55" spans="1:7" ht="12" customHeight="1">
      <c r="A55" s="128" t="s">
        <v>47</v>
      </c>
      <c r="B55" s="128"/>
      <c r="C55" s="128"/>
      <c r="D55" s="128"/>
      <c r="E55" s="142"/>
      <c r="F55" s="142"/>
      <c r="G55" s="142"/>
    </row>
    <row r="56" spans="1:7" ht="12" customHeight="1">
      <c r="A56" s="9" t="s">
        <v>48</v>
      </c>
      <c r="B56" s="22" t="s">
        <v>84</v>
      </c>
      <c r="C56" s="118">
        <v>0.54</v>
      </c>
      <c r="D56" s="118">
        <f>C56*8*B9+30.5</f>
        <v>8562.0680000000011</v>
      </c>
      <c r="E56" s="142"/>
      <c r="F56" s="143"/>
      <c r="G56" s="143"/>
    </row>
    <row r="57" spans="1:7" ht="15" customHeight="1">
      <c r="A57" s="9" t="s">
        <v>49</v>
      </c>
      <c r="B57" s="22" t="s">
        <v>84</v>
      </c>
      <c r="C57" s="118"/>
      <c r="D57" s="118"/>
      <c r="E57" s="142"/>
      <c r="F57" s="143"/>
      <c r="G57" s="143"/>
    </row>
    <row r="58" spans="1:7" ht="28.5" customHeight="1">
      <c r="A58" s="9" t="s">
        <v>50</v>
      </c>
      <c r="B58" s="22" t="s">
        <v>85</v>
      </c>
      <c r="C58" s="118"/>
      <c r="D58" s="118"/>
      <c r="E58" s="142"/>
      <c r="F58" s="143"/>
      <c r="G58" s="143"/>
    </row>
    <row r="59" spans="1:7" ht="12" customHeight="1">
      <c r="A59" s="9" t="s">
        <v>51</v>
      </c>
      <c r="B59" s="22" t="s">
        <v>107</v>
      </c>
      <c r="C59" s="118"/>
      <c r="D59" s="118"/>
      <c r="E59" s="142"/>
      <c r="F59" s="143"/>
      <c r="G59" s="143"/>
    </row>
    <row r="60" spans="1:7" ht="36.75" customHeight="1">
      <c r="A60" s="10" t="s">
        <v>52</v>
      </c>
      <c r="B60" s="22" t="s">
        <v>80</v>
      </c>
      <c r="C60" s="118"/>
      <c r="D60" s="118"/>
      <c r="E60" s="142"/>
      <c r="F60" s="143"/>
      <c r="G60" s="143"/>
    </row>
    <row r="61" spans="1:7" ht="13.5" customHeight="1">
      <c r="A61" s="10" t="s">
        <v>53</v>
      </c>
      <c r="B61" s="23" t="s">
        <v>85</v>
      </c>
      <c r="C61" s="118"/>
      <c r="D61" s="118"/>
      <c r="E61" s="142"/>
      <c r="F61" s="143"/>
      <c r="G61" s="143"/>
    </row>
    <row r="62" spans="1:7" ht="15" customHeight="1">
      <c r="A62" s="124" t="s">
        <v>54</v>
      </c>
      <c r="B62" s="124"/>
      <c r="C62" s="124"/>
      <c r="D62" s="124"/>
      <c r="E62" s="142"/>
      <c r="F62" s="143"/>
      <c r="G62" s="143"/>
    </row>
    <row r="63" spans="1:7" ht="34.5" customHeight="1">
      <c r="A63" s="147" t="s">
        <v>55</v>
      </c>
      <c r="B63" s="141" t="s">
        <v>87</v>
      </c>
      <c r="C63" s="118">
        <v>2.41</v>
      </c>
      <c r="D63" s="118">
        <f>C63*8*B9</f>
        <v>38076.072000000007</v>
      </c>
      <c r="E63" s="142"/>
      <c r="F63" s="143"/>
      <c r="G63" s="143"/>
    </row>
    <row r="64" spans="1:7" ht="15" customHeight="1">
      <c r="A64" s="148"/>
      <c r="B64" s="141"/>
      <c r="C64" s="118"/>
      <c r="D64" s="118"/>
      <c r="E64" s="142"/>
      <c r="F64" s="143"/>
      <c r="G64" s="143"/>
    </row>
    <row r="65" spans="1:7" ht="12.75" customHeight="1">
      <c r="A65" s="99" t="s">
        <v>56</v>
      </c>
      <c r="B65" s="21"/>
      <c r="C65" s="101"/>
      <c r="D65" s="101"/>
      <c r="E65" s="142"/>
      <c r="F65" s="143"/>
      <c r="G65" s="143"/>
    </row>
    <row r="66" spans="1:7" ht="16.5" customHeight="1">
      <c r="A66" s="6" t="s">
        <v>91</v>
      </c>
      <c r="B66" s="21" t="s">
        <v>88</v>
      </c>
      <c r="C66" s="131">
        <v>2.14</v>
      </c>
      <c r="D66" s="133">
        <v>33808.82</v>
      </c>
    </row>
    <row r="67" spans="1:7">
      <c r="A67" s="6" t="s">
        <v>92</v>
      </c>
      <c r="B67" s="21" t="s">
        <v>88</v>
      </c>
      <c r="C67" s="132"/>
      <c r="D67" s="134"/>
    </row>
    <row r="68" spans="1:7" ht="15" customHeight="1">
      <c r="A68" s="6" t="s">
        <v>93</v>
      </c>
      <c r="B68" s="21" t="s">
        <v>88</v>
      </c>
      <c r="C68" s="130"/>
      <c r="D68" s="135"/>
    </row>
    <row r="69" spans="1:7" ht="39" customHeight="1">
      <c r="A69" s="6" t="s">
        <v>165</v>
      </c>
      <c r="B69" s="22" t="s">
        <v>80</v>
      </c>
      <c r="C69" s="101">
        <v>4.22</v>
      </c>
      <c r="D69" s="101">
        <v>74147.34</v>
      </c>
      <c r="E69" s="142"/>
      <c r="F69" s="143"/>
      <c r="G69" s="143"/>
    </row>
    <row r="70" spans="1:7" ht="12" customHeight="1">
      <c r="A70" s="99" t="s">
        <v>57</v>
      </c>
      <c r="B70" s="23"/>
      <c r="C70" s="28">
        <f>C69+C66+C63+C56+C43+C39+C32+C28+C22+C20+C19+C18+C17+C15+C14</f>
        <v>19.357493543976908</v>
      </c>
      <c r="D70" s="28">
        <f>D69+D66+D63+D56+D43+D39+D32+D28+D22+D20+D19+D18+D17+D15+D14</f>
        <v>313336.66000000003</v>
      </c>
      <c r="E70" s="142">
        <f>C70*11*B9</f>
        <v>420520.25399999996</v>
      </c>
      <c r="F70" s="143"/>
      <c r="G70" s="143"/>
    </row>
    <row r="71" spans="1:7">
      <c r="A71" s="104"/>
      <c r="B71" s="104"/>
      <c r="C71" s="104"/>
      <c r="D71" s="104"/>
      <c r="E71" s="104"/>
      <c r="F71" s="104"/>
      <c r="G71" s="104"/>
    </row>
    <row r="72" spans="1:7">
      <c r="A72" s="15"/>
      <c r="B72" s="16"/>
      <c r="C72" s="17"/>
      <c r="D72" s="17"/>
      <c r="E72" s="18"/>
      <c r="F72" s="18"/>
      <c r="G72" s="16"/>
    </row>
    <row r="73" spans="1:7" ht="17.25" customHeight="1">
      <c r="A73" s="15"/>
      <c r="B73" s="16"/>
      <c r="C73" s="144"/>
      <c r="D73" s="144"/>
      <c r="E73" s="146"/>
      <c r="F73" s="146"/>
      <c r="G73" s="16"/>
    </row>
    <row r="74" spans="1:7" ht="17.25" customHeight="1">
      <c r="A74" s="15"/>
      <c r="B74" s="16"/>
      <c r="C74" s="145"/>
      <c r="D74" s="145"/>
      <c r="E74" s="145"/>
      <c r="F74" s="145"/>
      <c r="G74" s="16"/>
    </row>
    <row r="75" spans="1:7" ht="17.25" customHeight="1">
      <c r="A75" s="19"/>
      <c r="B75" s="12"/>
      <c r="C75" s="13"/>
      <c r="D75" s="47"/>
      <c r="E75" s="13"/>
      <c r="F75" s="20"/>
      <c r="G75" s="14"/>
    </row>
    <row r="76" spans="1:7" ht="17.25" customHeight="1">
      <c r="A76" s="19"/>
      <c r="B76" s="12"/>
      <c r="C76" s="13"/>
      <c r="D76" s="47"/>
      <c r="E76" s="13"/>
      <c r="F76" s="13"/>
      <c r="G76" s="14"/>
    </row>
    <row r="77" spans="1:7" ht="17.25" customHeight="1">
      <c r="A77" s="19"/>
      <c r="B77" s="12"/>
      <c r="C77" s="13"/>
      <c r="D77" s="13"/>
      <c r="E77" s="13"/>
      <c r="F77" s="13"/>
      <c r="G77" s="14"/>
    </row>
    <row r="78" spans="1:7">
      <c r="A78" s="19"/>
      <c r="B78" s="12"/>
      <c r="C78" s="13"/>
      <c r="D78" s="13"/>
      <c r="E78" s="13"/>
      <c r="F78" s="13"/>
      <c r="G78" s="14"/>
    </row>
    <row r="79" spans="1:7">
      <c r="A79" s="19"/>
      <c r="B79" s="12"/>
      <c r="C79" s="13"/>
      <c r="D79" s="13"/>
      <c r="E79" s="13"/>
      <c r="F79" s="13"/>
      <c r="G79" s="14"/>
    </row>
    <row r="80" spans="1:7">
      <c r="A80" s="19"/>
      <c r="B80" s="12"/>
      <c r="C80" s="13"/>
      <c r="D80" s="13"/>
      <c r="E80" s="13"/>
      <c r="F80" s="13"/>
      <c r="G80" s="14"/>
    </row>
    <row r="81" spans="1:7">
      <c r="A81" s="19"/>
      <c r="B81" s="12"/>
      <c r="C81" s="13"/>
      <c r="D81" s="13"/>
      <c r="E81" s="13"/>
      <c r="F81" s="13"/>
      <c r="G81" s="14"/>
    </row>
    <row r="82" spans="1:7">
      <c r="A82" s="19"/>
      <c r="B82" s="12"/>
      <c r="C82" s="13"/>
      <c r="D82" s="13"/>
      <c r="E82" s="13"/>
      <c r="F82" s="13"/>
      <c r="G82" s="14"/>
    </row>
    <row r="83" spans="1:7">
      <c r="A83" s="11"/>
      <c r="B83" s="12"/>
      <c r="C83" s="13"/>
      <c r="D83" s="13"/>
      <c r="E83" s="13"/>
      <c r="F83" s="13"/>
      <c r="G83" s="14"/>
    </row>
  </sheetData>
  <mergeCells count="75">
    <mergeCell ref="E16:G16"/>
    <mergeCell ref="E12:G12"/>
    <mergeCell ref="A13:D13"/>
    <mergeCell ref="E13:G13"/>
    <mergeCell ref="E14:G14"/>
    <mergeCell ref="E15:G15"/>
    <mergeCell ref="A21:D21"/>
    <mergeCell ref="E21:G21"/>
    <mergeCell ref="C22:C26"/>
    <mergeCell ref="D22:D26"/>
    <mergeCell ref="E22:G22"/>
    <mergeCell ref="E23:G23"/>
    <mergeCell ref="E24:G24"/>
    <mergeCell ref="E25:G25"/>
    <mergeCell ref="E26:G26"/>
    <mergeCell ref="A27:D27"/>
    <mergeCell ref="E27:G27"/>
    <mergeCell ref="C28:C29"/>
    <mergeCell ref="D28:D29"/>
    <mergeCell ref="A30:D30"/>
    <mergeCell ref="E30:G30"/>
    <mergeCell ref="A31:D31"/>
    <mergeCell ref="E31:G31"/>
    <mergeCell ref="C32:C37"/>
    <mergeCell ref="D32:D37"/>
    <mergeCell ref="E32:G32"/>
    <mergeCell ref="E33:G33"/>
    <mergeCell ref="E34:G34"/>
    <mergeCell ref="E35:G35"/>
    <mergeCell ref="E36:G36"/>
    <mergeCell ref="E37:G37"/>
    <mergeCell ref="A38:D38"/>
    <mergeCell ref="E38:G38"/>
    <mergeCell ref="C39:C41"/>
    <mergeCell ref="D39:D41"/>
    <mergeCell ref="E39:G39"/>
    <mergeCell ref="E40:G40"/>
    <mergeCell ref="E41:G41"/>
    <mergeCell ref="A42:D42"/>
    <mergeCell ref="E42:G42"/>
    <mergeCell ref="C43:C54"/>
    <mergeCell ref="D43:D54"/>
    <mergeCell ref="E43:G43"/>
    <mergeCell ref="E44:G44"/>
    <mergeCell ref="E45:G45"/>
    <mergeCell ref="E46:G46"/>
    <mergeCell ref="E47:G47"/>
    <mergeCell ref="E48:G48"/>
    <mergeCell ref="E65:G65"/>
    <mergeCell ref="C66:C68"/>
    <mergeCell ref="D66:D68"/>
    <mergeCell ref="E69:G69"/>
    <mergeCell ref="A55:D55"/>
    <mergeCell ref="E55:G55"/>
    <mergeCell ref="C56:C61"/>
    <mergeCell ref="D56:D61"/>
    <mergeCell ref="E56:G56"/>
    <mergeCell ref="E57:G57"/>
    <mergeCell ref="E58:G58"/>
    <mergeCell ref="E59:G59"/>
    <mergeCell ref="E60:G60"/>
    <mergeCell ref="E61:G61"/>
    <mergeCell ref="A62:D62"/>
    <mergeCell ref="E62:G62"/>
    <mergeCell ref="A63:A64"/>
    <mergeCell ref="B63:B64"/>
    <mergeCell ref="C63:C64"/>
    <mergeCell ref="D63:D64"/>
    <mergeCell ref="E63:G63"/>
    <mergeCell ref="E64:G64"/>
    <mergeCell ref="E70:G70"/>
    <mergeCell ref="C73:C74"/>
    <mergeCell ref="D73:D74"/>
    <mergeCell ref="E73:E74"/>
    <mergeCell ref="F73:F7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84"/>
  <sheetViews>
    <sheetView topLeftCell="A58" workbookViewId="0">
      <selection activeCell="D65" sqref="D65:D70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266</v>
      </c>
      <c r="B2" s="2"/>
      <c r="C2" s="2"/>
      <c r="D2" s="2"/>
    </row>
    <row r="3" spans="1:4">
      <c r="A3" s="1" t="s">
        <v>267</v>
      </c>
      <c r="B3" s="2"/>
      <c r="C3" s="2"/>
      <c r="D3" s="2"/>
    </row>
    <row r="4" spans="1:4">
      <c r="A4" s="25" t="s">
        <v>59</v>
      </c>
      <c r="B4" s="2">
        <v>1990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7</v>
      </c>
      <c r="C6" s="2"/>
      <c r="D6" s="2"/>
    </row>
    <row r="7" spans="1:4">
      <c r="A7" s="25" t="s">
        <v>62</v>
      </c>
      <c r="B7" s="2">
        <v>100</v>
      </c>
      <c r="C7" s="2"/>
      <c r="D7" s="2"/>
    </row>
    <row r="8" spans="1:4">
      <c r="A8" s="25" t="s">
        <v>73</v>
      </c>
      <c r="B8" s="2">
        <v>5952.9</v>
      </c>
      <c r="C8" s="2"/>
      <c r="D8" s="48"/>
    </row>
    <row r="9" spans="1:4">
      <c r="A9" s="25" t="s">
        <v>63</v>
      </c>
      <c r="B9" s="2">
        <v>669</v>
      </c>
      <c r="C9" s="2"/>
      <c r="D9" s="2"/>
    </row>
    <row r="10" spans="1:4">
      <c r="A10" s="25" t="s">
        <v>74</v>
      </c>
      <c r="B10" s="48">
        <v>1297.2</v>
      </c>
      <c r="C10" s="2"/>
      <c r="D10" s="2"/>
    </row>
    <row r="11" spans="1:4" ht="36.75">
      <c r="A11" s="92" t="s">
        <v>1</v>
      </c>
      <c r="B11" s="92" t="s">
        <v>2</v>
      </c>
      <c r="C11" s="92" t="s">
        <v>3</v>
      </c>
      <c r="D11" s="92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92" t="s">
        <v>7</v>
      </c>
      <c r="C13" s="93">
        <v>0.14000000000000001</v>
      </c>
      <c r="D13" s="29">
        <f>C13*8*B8</f>
        <v>6667.2480000000005</v>
      </c>
    </row>
    <row r="14" spans="1:4" ht="75.75" customHeight="1">
      <c r="A14" s="6" t="s">
        <v>90</v>
      </c>
      <c r="B14" s="92" t="s">
        <v>9</v>
      </c>
      <c r="C14" s="26">
        <v>2.2400000000000002</v>
      </c>
      <c r="D14" s="29">
        <f>C14*8*B8</f>
        <v>106675.96800000001</v>
      </c>
    </row>
    <row r="15" spans="1:4">
      <c r="A15" s="6" t="s">
        <v>10</v>
      </c>
      <c r="B15" s="92"/>
      <c r="C15" s="26"/>
      <c r="D15" s="30"/>
    </row>
    <row r="16" spans="1:4">
      <c r="A16" s="6" t="s">
        <v>268</v>
      </c>
      <c r="B16" s="103" t="s">
        <v>81</v>
      </c>
      <c r="C16" s="26">
        <v>0.76</v>
      </c>
      <c r="D16" s="30">
        <f>C16*8*B8</f>
        <v>36193.631999999998</v>
      </c>
    </row>
    <row r="17" spans="1:4">
      <c r="A17" s="6" t="s">
        <v>270</v>
      </c>
      <c r="B17" s="103" t="s">
        <v>108</v>
      </c>
      <c r="C17" s="46">
        <v>0.18</v>
      </c>
      <c r="D17" s="30">
        <f>C17*8*B8</f>
        <v>8572.1759999999995</v>
      </c>
    </row>
    <row r="18" spans="1:4">
      <c r="A18" s="6" t="s">
        <v>269</v>
      </c>
      <c r="B18" s="103" t="s">
        <v>89</v>
      </c>
      <c r="C18" s="46">
        <v>0.17</v>
      </c>
      <c r="D18" s="30">
        <f>C18*8*B8</f>
        <v>8095.9440000000004</v>
      </c>
    </row>
    <row r="19" spans="1:4">
      <c r="A19" s="6" t="s">
        <v>271</v>
      </c>
      <c r="B19" s="103" t="s">
        <v>108</v>
      </c>
      <c r="C19" s="46">
        <f>5012/8/B8</f>
        <v>0.1052428228258496</v>
      </c>
      <c r="D19" s="30">
        <f>C19*8*B8</f>
        <v>5012</v>
      </c>
    </row>
    <row r="20" spans="1:4">
      <c r="A20" s="124" t="s">
        <v>11</v>
      </c>
      <c r="B20" s="124"/>
      <c r="C20" s="124"/>
      <c r="D20" s="124"/>
    </row>
    <row r="21" spans="1:4" ht="13.5" customHeight="1">
      <c r="A21" s="41" t="s">
        <v>98</v>
      </c>
      <c r="B21" s="95"/>
      <c r="C21" s="95"/>
      <c r="D21" s="95"/>
    </row>
    <row r="22" spans="1:4" ht="13.5" customHeight="1">
      <c r="A22" s="6" t="s">
        <v>12</v>
      </c>
      <c r="B22" s="92" t="s">
        <v>76</v>
      </c>
      <c r="C22" s="118">
        <v>2.16</v>
      </c>
      <c r="D22" s="125">
        <f>C22*B8*8</f>
        <v>102866.11199999999</v>
      </c>
    </row>
    <row r="23" spans="1:4" ht="12.75" customHeight="1">
      <c r="A23" s="6" t="s">
        <v>13</v>
      </c>
      <c r="B23" s="92" t="s">
        <v>76</v>
      </c>
      <c r="C23" s="118"/>
      <c r="D23" s="126"/>
    </row>
    <row r="24" spans="1:4" ht="14.25" customHeight="1">
      <c r="A24" s="6" t="s">
        <v>14</v>
      </c>
      <c r="B24" s="92" t="s">
        <v>76</v>
      </c>
      <c r="C24" s="118"/>
      <c r="D24" s="126"/>
    </row>
    <row r="25" spans="1:4" ht="13.5" customHeight="1">
      <c r="A25" s="6" t="s">
        <v>15</v>
      </c>
      <c r="B25" s="92" t="s">
        <v>77</v>
      </c>
      <c r="C25" s="118"/>
      <c r="D25" s="126"/>
    </row>
    <row r="26" spans="1:4" ht="12.75" customHeight="1">
      <c r="A26" s="41" t="s">
        <v>94</v>
      </c>
      <c r="B26" s="92"/>
      <c r="C26" s="118"/>
      <c r="D26" s="126"/>
    </row>
    <row r="27" spans="1:4" ht="30" customHeight="1">
      <c r="A27" s="6" t="s">
        <v>16</v>
      </c>
      <c r="B27" s="92" t="s">
        <v>95</v>
      </c>
      <c r="C27" s="118"/>
      <c r="D27" s="127"/>
    </row>
    <row r="28" spans="1:4" ht="12.75" customHeight="1">
      <c r="A28" s="121" t="s">
        <v>17</v>
      </c>
      <c r="B28" s="122"/>
      <c r="C28" s="122"/>
      <c r="D28" s="123"/>
    </row>
    <row r="29" spans="1:4" ht="12" customHeight="1">
      <c r="A29" s="7" t="s">
        <v>18</v>
      </c>
      <c r="B29" s="21" t="s">
        <v>79</v>
      </c>
      <c r="C29" s="118">
        <v>0.2</v>
      </c>
      <c r="D29" s="128">
        <f>C29*B8*8</f>
        <v>9524.64</v>
      </c>
    </row>
    <row r="30" spans="1:4" ht="12" customHeight="1">
      <c r="A30" s="7" t="s">
        <v>19</v>
      </c>
      <c r="B30" s="21" t="s">
        <v>78</v>
      </c>
      <c r="C30" s="118"/>
      <c r="D30" s="128"/>
    </row>
    <row r="31" spans="1:4" ht="13.5" customHeight="1">
      <c r="A31" s="121" t="s">
        <v>20</v>
      </c>
      <c r="B31" s="122"/>
      <c r="C31" s="122"/>
      <c r="D31" s="123"/>
    </row>
    <row r="32" spans="1:4">
      <c r="A32" s="128" t="s">
        <v>21</v>
      </c>
      <c r="B32" s="128"/>
      <c r="C32" s="128"/>
      <c r="D32" s="128"/>
    </row>
    <row r="33" spans="1:4" ht="37.5" customHeight="1">
      <c r="A33" s="8" t="s">
        <v>22</v>
      </c>
      <c r="B33" s="22" t="s">
        <v>80</v>
      </c>
      <c r="C33" s="118">
        <v>0.61</v>
      </c>
      <c r="D33" s="117">
        <f>C33*B8*8</f>
        <v>29050.151999999998</v>
      </c>
    </row>
    <row r="34" spans="1:4" ht="15" customHeight="1">
      <c r="A34" s="9" t="s">
        <v>24</v>
      </c>
      <c r="B34" s="23" t="s">
        <v>112</v>
      </c>
      <c r="C34" s="118"/>
      <c r="D34" s="126"/>
    </row>
    <row r="35" spans="1:4" ht="13.5" customHeight="1">
      <c r="A35" s="9" t="s">
        <v>26</v>
      </c>
      <c r="B35" s="23" t="s">
        <v>112</v>
      </c>
      <c r="C35" s="118"/>
      <c r="D35" s="126"/>
    </row>
    <row r="36" spans="1:4" ht="36" customHeight="1">
      <c r="A36" s="9" t="s">
        <v>27</v>
      </c>
      <c r="B36" s="22" t="s">
        <v>23</v>
      </c>
      <c r="C36" s="118"/>
      <c r="D36" s="126"/>
    </row>
    <row r="37" spans="1:4" ht="14.25" customHeight="1">
      <c r="A37" s="9" t="s">
        <v>28</v>
      </c>
      <c r="B37" s="22" t="s">
        <v>25</v>
      </c>
      <c r="C37" s="118"/>
      <c r="D37" s="126"/>
    </row>
    <row r="38" spans="1:4" ht="33.75" customHeight="1">
      <c r="A38" s="24" t="s">
        <v>29</v>
      </c>
      <c r="B38" s="22" t="s">
        <v>23</v>
      </c>
      <c r="C38" s="129"/>
      <c r="D38" s="127"/>
    </row>
    <row r="39" spans="1:4" ht="15.75" customHeight="1">
      <c r="A39" s="128" t="s">
        <v>66</v>
      </c>
      <c r="B39" s="128"/>
      <c r="C39" s="128"/>
      <c r="D39" s="128"/>
    </row>
    <row r="40" spans="1:4" ht="36.75" customHeight="1">
      <c r="A40" s="9" t="s">
        <v>67</v>
      </c>
      <c r="B40" s="22" t="s">
        <v>80</v>
      </c>
      <c r="C40" s="117">
        <v>1</v>
      </c>
      <c r="D40" s="118">
        <f>C40*B8*8</f>
        <v>47623.199999999997</v>
      </c>
    </row>
    <row r="41" spans="1:4" ht="14.25" customHeight="1">
      <c r="A41" s="9" t="s">
        <v>68</v>
      </c>
      <c r="B41" s="22" t="s">
        <v>112</v>
      </c>
      <c r="C41" s="117"/>
      <c r="D41" s="119"/>
    </row>
    <row r="42" spans="1:4" ht="14.25" customHeight="1">
      <c r="A42" s="9" t="s">
        <v>69</v>
      </c>
      <c r="B42" s="22" t="s">
        <v>112</v>
      </c>
      <c r="C42" s="117"/>
      <c r="D42" s="119"/>
    </row>
    <row r="43" spans="1:4" ht="24" customHeight="1">
      <c r="A43" s="9" t="s">
        <v>70</v>
      </c>
      <c r="B43" s="22" t="s">
        <v>80</v>
      </c>
      <c r="C43" s="117"/>
      <c r="D43" s="119"/>
    </row>
    <row r="44" spans="1:4" ht="25.5" customHeight="1">
      <c r="A44" s="10" t="s">
        <v>71</v>
      </c>
      <c r="B44" s="22" t="s">
        <v>80</v>
      </c>
      <c r="C44" s="117"/>
      <c r="D44" s="119"/>
    </row>
    <row r="45" spans="1:4" ht="14.25" customHeight="1">
      <c r="A45" s="9" t="s">
        <v>72</v>
      </c>
      <c r="B45" s="22" t="s">
        <v>85</v>
      </c>
      <c r="C45" s="117"/>
      <c r="D45" s="120"/>
    </row>
    <row r="46" spans="1:4" ht="11.25" customHeight="1">
      <c r="A46" s="130" t="s">
        <v>30</v>
      </c>
      <c r="B46" s="130"/>
      <c r="C46" s="130"/>
      <c r="D46" s="130"/>
    </row>
    <row r="47" spans="1:4" ht="35.25" customHeight="1">
      <c r="A47" s="9" t="s">
        <v>31</v>
      </c>
      <c r="B47" s="22" t="s">
        <v>23</v>
      </c>
      <c r="C47" s="117">
        <v>0.7</v>
      </c>
      <c r="D47" s="118">
        <f>C47*8*B8</f>
        <v>33336.239999999998</v>
      </c>
    </row>
    <row r="48" spans="1:4" ht="38.25" customHeight="1">
      <c r="A48" s="9" t="s">
        <v>32</v>
      </c>
      <c r="B48" s="22" t="s">
        <v>23</v>
      </c>
      <c r="C48" s="117"/>
      <c r="D48" s="118"/>
    </row>
    <row r="49" spans="1:4" ht="15" customHeight="1">
      <c r="A49" s="10" t="s">
        <v>33</v>
      </c>
      <c r="B49" s="22" t="s">
        <v>23</v>
      </c>
      <c r="C49" s="117"/>
      <c r="D49" s="118"/>
    </row>
    <row r="50" spans="1:4" ht="12.75" customHeight="1">
      <c r="A50" s="128" t="s">
        <v>34</v>
      </c>
      <c r="B50" s="128"/>
      <c r="C50" s="128"/>
      <c r="D50" s="128"/>
    </row>
    <row r="51" spans="1:4" ht="29.25" customHeight="1">
      <c r="A51" s="9" t="s">
        <v>35</v>
      </c>
      <c r="B51" s="22" t="s">
        <v>78</v>
      </c>
      <c r="C51" s="117">
        <v>2.7</v>
      </c>
      <c r="D51" s="117">
        <f>C51*8*B8+13.63</f>
        <v>128596.27</v>
      </c>
    </row>
    <row r="52" spans="1:4" ht="14.25" customHeight="1">
      <c r="A52" s="9" t="s">
        <v>36</v>
      </c>
      <c r="B52" s="22" t="s">
        <v>82</v>
      </c>
      <c r="C52" s="117"/>
      <c r="D52" s="117"/>
    </row>
    <row r="53" spans="1:4" ht="17.25" customHeight="1">
      <c r="A53" s="9" t="s">
        <v>37</v>
      </c>
      <c r="B53" s="22" t="s">
        <v>82</v>
      </c>
      <c r="C53" s="117"/>
      <c r="D53" s="117"/>
    </row>
    <row r="54" spans="1:4" ht="24.75" customHeight="1">
      <c r="A54" s="9" t="s">
        <v>38</v>
      </c>
      <c r="B54" s="22" t="s">
        <v>83</v>
      </c>
      <c r="C54" s="117"/>
      <c r="D54" s="117"/>
    </row>
    <row r="55" spans="1:4" ht="30" customHeight="1">
      <c r="A55" s="9" t="s">
        <v>39</v>
      </c>
      <c r="B55" s="22" t="s">
        <v>83</v>
      </c>
      <c r="C55" s="117"/>
      <c r="D55" s="117"/>
    </row>
    <row r="56" spans="1:4" ht="12.75" customHeight="1">
      <c r="A56" s="95" t="s">
        <v>96</v>
      </c>
      <c r="B56" s="6"/>
      <c r="C56" s="117"/>
      <c r="D56" s="117"/>
    </row>
    <row r="57" spans="1:4" ht="35.25" customHeight="1">
      <c r="A57" s="9" t="s">
        <v>41</v>
      </c>
      <c r="B57" s="22" t="s">
        <v>80</v>
      </c>
      <c r="C57" s="117"/>
      <c r="D57" s="117"/>
    </row>
    <row r="58" spans="1:4" ht="14.25" customHeight="1">
      <c r="A58" s="9" t="s">
        <v>42</v>
      </c>
      <c r="B58" s="22" t="s">
        <v>108</v>
      </c>
      <c r="C58" s="117"/>
      <c r="D58" s="117"/>
    </row>
    <row r="59" spans="1:4" ht="14.25" customHeight="1">
      <c r="A59" s="9" t="s">
        <v>43</v>
      </c>
      <c r="B59" s="23" t="s">
        <v>108</v>
      </c>
      <c r="C59" s="117"/>
      <c r="D59" s="117"/>
    </row>
    <row r="60" spans="1:4" ht="13.5" customHeight="1">
      <c r="A60" s="9" t="s">
        <v>44</v>
      </c>
      <c r="B60" s="23" t="s">
        <v>108</v>
      </c>
      <c r="C60" s="117"/>
      <c r="D60" s="117"/>
    </row>
    <row r="61" spans="1:4" ht="13.5" customHeight="1">
      <c r="A61" s="9" t="s">
        <v>45</v>
      </c>
      <c r="B61" s="21" t="s">
        <v>272</v>
      </c>
      <c r="C61" s="117"/>
      <c r="D61" s="117"/>
    </row>
    <row r="62" spans="1:4" ht="36.75" customHeight="1">
      <c r="A62" s="10" t="s">
        <v>46</v>
      </c>
      <c r="B62" s="22" t="s">
        <v>23</v>
      </c>
      <c r="C62" s="117"/>
      <c r="D62" s="117"/>
    </row>
    <row r="63" spans="1:4" ht="22.5" customHeight="1">
      <c r="A63" s="10"/>
      <c r="B63" s="22"/>
      <c r="C63" s="94"/>
      <c r="D63" s="94"/>
    </row>
    <row r="64" spans="1:4">
      <c r="A64" s="128" t="s">
        <v>47</v>
      </c>
      <c r="B64" s="128"/>
      <c r="C64" s="128"/>
      <c r="D64" s="128"/>
    </row>
    <row r="65" spans="1:4" ht="15.75" customHeight="1">
      <c r="A65" s="9" t="s">
        <v>48</v>
      </c>
      <c r="B65" s="22" t="s">
        <v>84</v>
      </c>
      <c r="C65" s="129">
        <v>1.75</v>
      </c>
      <c r="D65" s="125">
        <f>C65*B8*8</f>
        <v>83340.599999999991</v>
      </c>
    </row>
    <row r="66" spans="1:4" ht="12.75" customHeight="1">
      <c r="A66" s="9" t="s">
        <v>49</v>
      </c>
      <c r="B66" s="22" t="s">
        <v>84</v>
      </c>
      <c r="C66" s="119"/>
      <c r="D66" s="126"/>
    </row>
    <row r="67" spans="1:4" ht="26.25" customHeight="1">
      <c r="A67" s="9" t="s">
        <v>50</v>
      </c>
      <c r="B67" s="22" t="s">
        <v>84</v>
      </c>
      <c r="C67" s="119"/>
      <c r="D67" s="126"/>
    </row>
    <row r="68" spans="1:4" ht="16.5" customHeight="1">
      <c r="A68" s="9" t="s">
        <v>51</v>
      </c>
      <c r="B68" s="22" t="s">
        <v>84</v>
      </c>
      <c r="C68" s="119"/>
      <c r="D68" s="126"/>
    </row>
    <row r="69" spans="1:4" ht="39.75" customHeight="1">
      <c r="A69" s="10" t="s">
        <v>52</v>
      </c>
      <c r="B69" s="22" t="s">
        <v>23</v>
      </c>
      <c r="C69" s="119"/>
      <c r="D69" s="126"/>
    </row>
    <row r="70" spans="1:4" ht="16.5" customHeight="1">
      <c r="A70" s="10" t="s">
        <v>53</v>
      </c>
      <c r="B70" s="23" t="s">
        <v>85</v>
      </c>
      <c r="C70" s="120"/>
      <c r="D70" s="127"/>
    </row>
    <row r="71" spans="1:4">
      <c r="A71" s="121" t="s">
        <v>86</v>
      </c>
      <c r="B71" s="122"/>
      <c r="C71" s="122"/>
      <c r="D71" s="123"/>
    </row>
    <row r="72" spans="1:4" ht="26.25" customHeight="1">
      <c r="A72" s="156" t="s">
        <v>97</v>
      </c>
      <c r="B72" s="141" t="s">
        <v>87</v>
      </c>
      <c r="C72" s="118">
        <v>2.41</v>
      </c>
      <c r="D72" s="117">
        <f>C72*B8*8</f>
        <v>114771.912</v>
      </c>
    </row>
    <row r="73" spans="1:4" ht="13.5" customHeight="1">
      <c r="A73" s="157"/>
      <c r="B73" s="141"/>
      <c r="C73" s="118"/>
      <c r="D73" s="117"/>
    </row>
    <row r="74" spans="1:4" ht="15" customHeight="1">
      <c r="A74" s="121" t="s">
        <v>56</v>
      </c>
      <c r="B74" s="122"/>
      <c r="C74" s="122"/>
      <c r="D74" s="123"/>
    </row>
    <row r="75" spans="1:4" ht="16.5" customHeight="1">
      <c r="A75" s="6" t="s">
        <v>91</v>
      </c>
      <c r="B75" s="21" t="s">
        <v>88</v>
      </c>
      <c r="C75" s="131">
        <v>2.14</v>
      </c>
      <c r="D75" s="133">
        <v>101883.52</v>
      </c>
    </row>
    <row r="76" spans="1:4">
      <c r="A76" s="6" t="s">
        <v>92</v>
      </c>
      <c r="B76" s="21" t="s">
        <v>88</v>
      </c>
      <c r="C76" s="132"/>
      <c r="D76" s="134"/>
    </row>
    <row r="77" spans="1:4" ht="15" customHeight="1">
      <c r="A77" s="6" t="s">
        <v>93</v>
      </c>
      <c r="B77" s="21" t="s">
        <v>88</v>
      </c>
      <c r="C77" s="130"/>
      <c r="D77" s="135"/>
    </row>
    <row r="78" spans="1:4" ht="38.25" customHeight="1">
      <c r="A78" s="6" t="s">
        <v>165</v>
      </c>
      <c r="B78" s="22" t="s">
        <v>23</v>
      </c>
      <c r="C78" s="91">
        <v>4.3499999999999996</v>
      </c>
      <c r="D78" s="91">
        <v>220531.49</v>
      </c>
    </row>
    <row r="79" spans="1:4">
      <c r="A79" s="95" t="s">
        <v>57</v>
      </c>
      <c r="B79" s="23"/>
      <c r="C79" s="28">
        <f>C78+C75+C72+C65+C51+C47+C40+C33+C29+C22+C19+C18+C17+C16+C14+C13</f>
        <v>21.615242822825856</v>
      </c>
      <c r="D79" s="57">
        <f>D78+D75+D72+D65+D51+D47+D40+D33+D29+D22+D19+D18+D17+D16+D14+D13</f>
        <v>1042741.1039999999</v>
      </c>
    </row>
    <row r="81" spans="4:4">
      <c r="D81" s="42">
        <v>720326.09</v>
      </c>
    </row>
    <row r="82" spans="4:4">
      <c r="D82" s="42">
        <f>D81+D78+D75</f>
        <v>1042741.1</v>
      </c>
    </row>
    <row r="83" spans="4:4">
      <c r="D83" s="42">
        <f>D82-D79</f>
        <v>-3.9999999571591616E-3</v>
      </c>
    </row>
    <row r="84" spans="4:4">
      <c r="D84" s="42"/>
    </row>
  </sheetData>
  <mergeCells count="31">
    <mergeCell ref="A74:D74"/>
    <mergeCell ref="C75:C77"/>
    <mergeCell ref="D75:D77"/>
    <mergeCell ref="A64:D64"/>
    <mergeCell ref="A71:D71"/>
    <mergeCell ref="A72:A73"/>
    <mergeCell ref="B72:B73"/>
    <mergeCell ref="C72:C73"/>
    <mergeCell ref="D72:D73"/>
    <mergeCell ref="C65:C70"/>
    <mergeCell ref="D65:D70"/>
    <mergeCell ref="A46:D46"/>
    <mergeCell ref="C47:C49"/>
    <mergeCell ref="D47:D49"/>
    <mergeCell ref="A50:D50"/>
    <mergeCell ref="C51:C62"/>
    <mergeCell ref="D51:D62"/>
    <mergeCell ref="C40:C45"/>
    <mergeCell ref="D40:D45"/>
    <mergeCell ref="A12:D12"/>
    <mergeCell ref="A20:D20"/>
    <mergeCell ref="C22:C27"/>
    <mergeCell ref="D22:D27"/>
    <mergeCell ref="A28:D28"/>
    <mergeCell ref="C29:C30"/>
    <mergeCell ref="D29:D30"/>
    <mergeCell ref="A31:D31"/>
    <mergeCell ref="A32:D32"/>
    <mergeCell ref="C33:C38"/>
    <mergeCell ref="D33:D38"/>
    <mergeCell ref="A39:D3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83"/>
  <sheetViews>
    <sheetView topLeftCell="A55" workbookViewId="0">
      <selection activeCell="E14" sqref="E14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260</v>
      </c>
      <c r="B2" s="2"/>
      <c r="C2" s="2"/>
      <c r="D2" s="2"/>
    </row>
    <row r="3" spans="1:4">
      <c r="A3" s="1" t="s">
        <v>261</v>
      </c>
      <c r="B3" s="2"/>
      <c r="C3" s="2"/>
      <c r="D3" s="2"/>
    </row>
    <row r="4" spans="1:4">
      <c r="A4" s="25" t="s">
        <v>59</v>
      </c>
      <c r="B4" s="2">
        <v>1978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60</v>
      </c>
      <c r="C7" s="2"/>
      <c r="D7" s="2"/>
    </row>
    <row r="8" spans="1:4">
      <c r="A8" s="25" t="s">
        <v>73</v>
      </c>
      <c r="B8" s="2">
        <v>3123.8</v>
      </c>
      <c r="C8" s="2"/>
      <c r="D8" s="48"/>
    </row>
    <row r="9" spans="1:4">
      <c r="A9" s="25" t="s">
        <v>63</v>
      </c>
      <c r="B9" s="2">
        <v>223.8</v>
      </c>
      <c r="C9" s="2"/>
      <c r="D9" s="2"/>
    </row>
    <row r="10" spans="1:4">
      <c r="A10" s="25" t="s">
        <v>74</v>
      </c>
      <c r="B10" s="48">
        <v>687.7</v>
      </c>
      <c r="C10" s="2"/>
      <c r="D10" s="2"/>
    </row>
    <row r="11" spans="1:4" ht="36.75">
      <c r="A11" s="89" t="s">
        <v>1</v>
      </c>
      <c r="B11" s="89" t="s">
        <v>2</v>
      </c>
      <c r="C11" s="89" t="s">
        <v>3</v>
      </c>
      <c r="D11" s="89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89" t="s">
        <v>7</v>
      </c>
      <c r="C13" s="87">
        <v>0.13</v>
      </c>
      <c r="D13" s="29">
        <f>C13*9*B8</f>
        <v>3654.846</v>
      </c>
    </row>
    <row r="14" spans="1:4" ht="75.75" customHeight="1">
      <c r="A14" s="6" t="s">
        <v>90</v>
      </c>
      <c r="B14" s="89" t="s">
        <v>9</v>
      </c>
      <c r="C14" s="26">
        <v>2.2799999999999998</v>
      </c>
      <c r="D14" s="29">
        <f>C14*9*B8</f>
        <v>64100.376000000004</v>
      </c>
    </row>
    <row r="15" spans="1:4">
      <c r="A15" s="6" t="s">
        <v>10</v>
      </c>
      <c r="B15" s="89"/>
      <c r="C15" s="26"/>
      <c r="D15" s="30"/>
    </row>
    <row r="16" spans="1:4">
      <c r="A16" s="6" t="s">
        <v>262</v>
      </c>
      <c r="B16" s="89" t="s">
        <v>108</v>
      </c>
      <c r="C16" s="46">
        <f>6649.5/9/B8</f>
        <v>0.23651748938258957</v>
      </c>
      <c r="D16" s="30">
        <f>C16*9*B8</f>
        <v>6649.5</v>
      </c>
    </row>
    <row r="17" spans="1:4">
      <c r="A17" s="6" t="s">
        <v>263</v>
      </c>
      <c r="B17" s="89" t="s">
        <v>108</v>
      </c>
      <c r="C17" s="46">
        <v>0.25</v>
      </c>
      <c r="D17" s="30">
        <f>C17*9*B8</f>
        <v>7028.55</v>
      </c>
    </row>
    <row r="18" spans="1:4">
      <c r="A18" s="124" t="s">
        <v>11</v>
      </c>
      <c r="B18" s="124"/>
      <c r="C18" s="124"/>
      <c r="D18" s="124"/>
    </row>
    <row r="19" spans="1:4" ht="13.5" customHeight="1">
      <c r="A19" s="41" t="s">
        <v>98</v>
      </c>
      <c r="B19" s="90"/>
      <c r="C19" s="90"/>
      <c r="D19" s="90"/>
    </row>
    <row r="20" spans="1:4" ht="13.5" customHeight="1">
      <c r="A20" s="6" t="s">
        <v>12</v>
      </c>
      <c r="B20" s="89" t="s">
        <v>76</v>
      </c>
      <c r="C20" s="118">
        <v>2.13</v>
      </c>
      <c r="D20" s="125">
        <f>C20*B8*9</f>
        <v>59883.246000000006</v>
      </c>
    </row>
    <row r="21" spans="1:4" ht="12.75" customHeight="1">
      <c r="A21" s="6" t="s">
        <v>13</v>
      </c>
      <c r="B21" s="89" t="s">
        <v>76</v>
      </c>
      <c r="C21" s="118"/>
      <c r="D21" s="126"/>
    </row>
    <row r="22" spans="1:4" ht="14.25" customHeight="1">
      <c r="A22" s="6" t="s">
        <v>14</v>
      </c>
      <c r="B22" s="89" t="s">
        <v>76</v>
      </c>
      <c r="C22" s="118"/>
      <c r="D22" s="126"/>
    </row>
    <row r="23" spans="1:4" ht="13.5" customHeight="1">
      <c r="A23" s="6" t="s">
        <v>15</v>
      </c>
      <c r="B23" s="89" t="s">
        <v>77</v>
      </c>
      <c r="C23" s="118"/>
      <c r="D23" s="126"/>
    </row>
    <row r="24" spans="1:4" ht="12.75" customHeight="1">
      <c r="A24" s="41" t="s">
        <v>94</v>
      </c>
      <c r="B24" s="89"/>
      <c r="C24" s="118"/>
      <c r="D24" s="126"/>
    </row>
    <row r="25" spans="1:4" ht="30" customHeight="1">
      <c r="A25" s="6" t="s">
        <v>16</v>
      </c>
      <c r="B25" s="89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C27*B8*9</f>
        <v>5622.8400000000011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0.69</v>
      </c>
      <c r="D31" s="117">
        <f>C31*B8*9</f>
        <v>19398.797999999999</v>
      </c>
    </row>
    <row r="32" spans="1:4" ht="15" customHeight="1">
      <c r="A32" s="9" t="s">
        <v>24</v>
      </c>
      <c r="B32" s="23" t="s">
        <v>112</v>
      </c>
      <c r="C32" s="118"/>
      <c r="D32" s="126"/>
    </row>
    <row r="33" spans="1:4" ht="13.5" customHeight="1">
      <c r="A33" s="9" t="s">
        <v>26</v>
      </c>
      <c r="B33" s="23" t="s">
        <v>112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1</v>
      </c>
      <c r="D38" s="118">
        <f>C38*B8*9</f>
        <v>28114.2</v>
      </c>
    </row>
    <row r="39" spans="1:4" ht="14.25" customHeight="1">
      <c r="A39" s="9" t="s">
        <v>68</v>
      </c>
      <c r="B39" s="22" t="s">
        <v>112</v>
      </c>
      <c r="C39" s="117"/>
      <c r="D39" s="119"/>
    </row>
    <row r="40" spans="1:4" ht="14.25" customHeight="1">
      <c r="A40" s="9" t="s">
        <v>69</v>
      </c>
      <c r="B40" s="22" t="s">
        <v>112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85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0.69</v>
      </c>
      <c r="D45" s="118">
        <f>C45*9*B8</f>
        <v>19398.797999999999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3.77</v>
      </c>
      <c r="D49" s="117">
        <f>C49*9*B8-6174.82</f>
        <v>99815.714000000007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90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108</v>
      </c>
      <c r="C56" s="117"/>
      <c r="D56" s="117"/>
    </row>
    <row r="57" spans="1:4" ht="14.25" customHeight="1">
      <c r="A57" s="9" t="s">
        <v>43</v>
      </c>
      <c r="B57" s="23" t="s">
        <v>108</v>
      </c>
      <c r="C57" s="117"/>
      <c r="D57" s="117"/>
    </row>
    <row r="58" spans="1:4" ht="13.5" customHeight="1">
      <c r="A58" s="9" t="s">
        <v>44</v>
      </c>
      <c r="B58" s="23" t="s">
        <v>108</v>
      </c>
      <c r="C58" s="117"/>
      <c r="D58" s="117"/>
    </row>
    <row r="59" spans="1:4" ht="13.5" customHeight="1">
      <c r="A59" s="9" t="s">
        <v>45</v>
      </c>
      <c r="B59" s="21" t="s">
        <v>265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 ht="22.5" customHeight="1">
      <c r="A61" s="10"/>
      <c r="B61" s="22"/>
      <c r="C61" s="88"/>
      <c r="D61" s="88"/>
    </row>
    <row r="62" spans="1:4">
      <c r="A62" s="128" t="s">
        <v>47</v>
      </c>
      <c r="B62" s="128"/>
      <c r="C62" s="128"/>
      <c r="D62" s="128"/>
    </row>
    <row r="63" spans="1:4" ht="15.75" customHeight="1">
      <c r="A63" s="9" t="s">
        <v>48</v>
      </c>
      <c r="B63" s="22" t="s">
        <v>84</v>
      </c>
      <c r="C63" s="158">
        <v>1.37</v>
      </c>
      <c r="D63" s="136">
        <f>C63*B8*9</f>
        <v>38516.454000000005</v>
      </c>
    </row>
    <row r="64" spans="1:4" ht="12.75" customHeight="1">
      <c r="A64" s="9" t="s">
        <v>49</v>
      </c>
      <c r="B64" s="22" t="s">
        <v>84</v>
      </c>
      <c r="C64" s="159"/>
      <c r="D64" s="137"/>
    </row>
    <row r="65" spans="1:4" ht="27.75" customHeight="1">
      <c r="A65" s="9" t="s">
        <v>50</v>
      </c>
      <c r="B65" s="22" t="s">
        <v>84</v>
      </c>
      <c r="C65" s="159"/>
      <c r="D65" s="137"/>
    </row>
    <row r="66" spans="1:4" ht="16.5" customHeight="1">
      <c r="A66" s="9" t="s">
        <v>51</v>
      </c>
      <c r="B66" s="22" t="s">
        <v>84</v>
      </c>
      <c r="C66" s="159"/>
      <c r="D66" s="137"/>
    </row>
    <row r="67" spans="1:4" ht="35.25" customHeight="1">
      <c r="A67" s="10" t="s">
        <v>52</v>
      </c>
      <c r="B67" s="22" t="s">
        <v>23</v>
      </c>
      <c r="C67" s="159"/>
      <c r="D67" s="137"/>
    </row>
    <row r="68" spans="1:4" ht="16.5" customHeight="1">
      <c r="A68" s="10" t="s">
        <v>53</v>
      </c>
      <c r="B68" s="23" t="s">
        <v>85</v>
      </c>
      <c r="C68" s="160"/>
      <c r="D68" s="138"/>
    </row>
    <row r="69" spans="1:4">
      <c r="A69" s="121" t="s">
        <v>86</v>
      </c>
      <c r="B69" s="122"/>
      <c r="C69" s="122"/>
      <c r="D69" s="123"/>
    </row>
    <row r="70" spans="1:4" ht="26.25" customHeight="1">
      <c r="A70" s="156" t="s">
        <v>97</v>
      </c>
      <c r="B70" s="141" t="s">
        <v>87</v>
      </c>
      <c r="C70" s="118">
        <v>2.38</v>
      </c>
      <c r="D70" s="117">
        <f>C70*B8*9</f>
        <v>66911.796000000002</v>
      </c>
    </row>
    <row r="71" spans="1:4" ht="13.5" customHeight="1">
      <c r="A71" s="157"/>
      <c r="B71" s="141"/>
      <c r="C71" s="118"/>
      <c r="D71" s="117"/>
    </row>
    <row r="72" spans="1:4" ht="15" customHeight="1">
      <c r="A72" s="121" t="s">
        <v>56</v>
      </c>
      <c r="B72" s="122"/>
      <c r="C72" s="122"/>
      <c r="D72" s="123"/>
    </row>
    <row r="73" spans="1:4" ht="16.5" customHeight="1">
      <c r="A73" s="6" t="s">
        <v>91</v>
      </c>
      <c r="B73" s="21" t="s">
        <v>88</v>
      </c>
      <c r="C73" s="131">
        <v>2.14</v>
      </c>
      <c r="D73" s="133">
        <v>60185.1</v>
      </c>
    </row>
    <row r="74" spans="1:4">
      <c r="A74" s="6" t="s">
        <v>92</v>
      </c>
      <c r="B74" s="21" t="s">
        <v>88</v>
      </c>
      <c r="C74" s="132"/>
      <c r="D74" s="134"/>
    </row>
    <row r="75" spans="1:4" ht="15" customHeight="1">
      <c r="A75" s="6" t="s">
        <v>93</v>
      </c>
      <c r="B75" s="21" t="s">
        <v>88</v>
      </c>
      <c r="C75" s="130"/>
      <c r="D75" s="135"/>
    </row>
    <row r="76" spans="1:4" ht="38.25" customHeight="1">
      <c r="A76" s="6" t="s">
        <v>165</v>
      </c>
      <c r="B76" s="22" t="s">
        <v>23</v>
      </c>
      <c r="C76" s="86">
        <v>4.3499999999999996</v>
      </c>
      <c r="D76" s="86">
        <v>115670.6</v>
      </c>
    </row>
    <row r="77" spans="1:4" ht="18" customHeight="1">
      <c r="A77" s="6" t="s">
        <v>264</v>
      </c>
      <c r="B77" s="22"/>
      <c r="C77" s="86"/>
      <c r="D77" s="86">
        <v>-5705.52</v>
      </c>
    </row>
    <row r="78" spans="1:4">
      <c r="A78" s="90" t="s">
        <v>57</v>
      </c>
      <c r="B78" s="23"/>
      <c r="C78" s="28">
        <f>C76+C73+C70+C63+C49+C45+C38+C31+C27+C20+C17+C16+C14+C13</f>
        <v>21.616517489382588</v>
      </c>
      <c r="D78" s="57">
        <f>D76+D73+D70+D63+D49+D45+D38+D31+D27+D20+D17+D16+D14+D13+D77</f>
        <v>589245.29800000007</v>
      </c>
    </row>
    <row r="80" spans="1:4">
      <c r="D80" s="42"/>
    </row>
    <row r="81" spans="4:4">
      <c r="D81" s="42"/>
    </row>
    <row r="82" spans="4:4">
      <c r="D82" s="42"/>
    </row>
    <row r="83" spans="4:4">
      <c r="D83" s="42"/>
    </row>
  </sheetData>
  <mergeCells count="31">
    <mergeCell ref="A72:D72"/>
    <mergeCell ref="C73:C75"/>
    <mergeCell ref="D73:D75"/>
    <mergeCell ref="A62:D62"/>
    <mergeCell ref="A69:D69"/>
    <mergeCell ref="A70:A71"/>
    <mergeCell ref="B70:B71"/>
    <mergeCell ref="C70:C71"/>
    <mergeCell ref="D70:D71"/>
    <mergeCell ref="C63:C68"/>
    <mergeCell ref="D63:D68"/>
    <mergeCell ref="A44:D44"/>
    <mergeCell ref="C45:C47"/>
    <mergeCell ref="D45:D47"/>
    <mergeCell ref="A48:D48"/>
    <mergeCell ref="C49:C60"/>
    <mergeCell ref="D49:D60"/>
    <mergeCell ref="C38:C43"/>
    <mergeCell ref="D38:D4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86"/>
  <sheetViews>
    <sheetView topLeftCell="A61" workbookViewId="0">
      <selection activeCell="C67" sqref="C67:C72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253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1988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60</v>
      </c>
      <c r="C7" s="2"/>
      <c r="D7" s="2"/>
    </row>
    <row r="8" spans="1:4">
      <c r="A8" s="25" t="s">
        <v>73</v>
      </c>
      <c r="B8" s="2">
        <v>2708.5</v>
      </c>
      <c r="C8" s="2"/>
      <c r="D8" s="48"/>
    </row>
    <row r="9" spans="1:4">
      <c r="A9" s="25" t="s">
        <v>63</v>
      </c>
      <c r="B9" s="2">
        <v>283.89999999999998</v>
      </c>
      <c r="C9" s="2"/>
      <c r="D9" s="2"/>
    </row>
    <row r="10" spans="1:4">
      <c r="A10" s="25" t="s">
        <v>74</v>
      </c>
      <c r="B10" s="48">
        <v>650</v>
      </c>
      <c r="C10" s="2"/>
      <c r="D10" s="2"/>
    </row>
    <row r="11" spans="1:4" ht="36.75">
      <c r="A11" s="79" t="s">
        <v>1</v>
      </c>
      <c r="B11" s="79" t="s">
        <v>2</v>
      </c>
      <c r="C11" s="79" t="s">
        <v>3</v>
      </c>
      <c r="D11" s="79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9" t="s">
        <v>7</v>
      </c>
      <c r="C13" s="77">
        <v>0.14000000000000001</v>
      </c>
      <c r="D13" s="29">
        <f>C13*8*B8</f>
        <v>3033.5200000000004</v>
      </c>
    </row>
    <row r="14" spans="1:4" ht="75.75" customHeight="1">
      <c r="A14" s="6" t="s">
        <v>90</v>
      </c>
      <c r="B14" s="79" t="s">
        <v>9</v>
      </c>
      <c r="C14" s="26">
        <v>1.34</v>
      </c>
      <c r="D14" s="29">
        <f>C14*8*B8</f>
        <v>29035.120000000003</v>
      </c>
    </row>
    <row r="15" spans="1:4">
      <c r="A15" s="6" t="s">
        <v>10</v>
      </c>
      <c r="B15" s="79"/>
      <c r="C15" s="26"/>
      <c r="D15" s="30"/>
    </row>
    <row r="16" spans="1:4">
      <c r="A16" s="6" t="s">
        <v>254</v>
      </c>
      <c r="B16" s="79" t="s">
        <v>140</v>
      </c>
      <c r="C16" s="46">
        <f>4786/8/B8</f>
        <v>0.22087871515599039</v>
      </c>
      <c r="D16" s="30">
        <f>C16*8*B8</f>
        <v>4786</v>
      </c>
    </row>
    <row r="17" spans="1:4">
      <c r="A17" s="6" t="s">
        <v>257</v>
      </c>
      <c r="B17" s="79" t="s">
        <v>25</v>
      </c>
      <c r="C17" s="46">
        <f>9815.6/8/B8</f>
        <v>0.45299981539597567</v>
      </c>
      <c r="D17" s="30">
        <f>C17*8*B8</f>
        <v>9815.6</v>
      </c>
    </row>
    <row r="18" spans="1:4">
      <c r="A18" s="6" t="s">
        <v>255</v>
      </c>
      <c r="B18" s="79" t="s">
        <v>25</v>
      </c>
      <c r="C18" s="46">
        <f>11389/8/B8</f>
        <v>0.52561380838102267</v>
      </c>
      <c r="D18" s="30">
        <f>C18*8*B8</f>
        <v>11389</v>
      </c>
    </row>
    <row r="19" spans="1:4">
      <c r="A19" s="82" t="s">
        <v>256</v>
      </c>
      <c r="B19" s="79" t="s">
        <v>85</v>
      </c>
      <c r="C19" s="46">
        <f>26658/8/B8</f>
        <v>1.2302935203987446</v>
      </c>
      <c r="D19" s="30">
        <f>C19*8*B8</f>
        <v>26658</v>
      </c>
    </row>
    <row r="20" spans="1:4">
      <c r="A20" s="82" t="s">
        <v>259</v>
      </c>
      <c r="B20" s="79" t="s">
        <v>25</v>
      </c>
      <c r="C20" s="46">
        <v>0.53</v>
      </c>
      <c r="D20" s="30">
        <f>C20*8*B8</f>
        <v>11484.04</v>
      </c>
    </row>
    <row r="21" spans="1:4">
      <c r="A21" s="82" t="s">
        <v>258</v>
      </c>
      <c r="B21" s="79" t="s">
        <v>25</v>
      </c>
      <c r="C21" s="46">
        <f>3565/8/B8</f>
        <v>0.16452833671774045</v>
      </c>
      <c r="D21" s="30">
        <f>C21*8*B8</f>
        <v>3565</v>
      </c>
    </row>
    <row r="22" spans="1:4">
      <c r="A22" s="124" t="s">
        <v>11</v>
      </c>
      <c r="B22" s="124"/>
      <c r="C22" s="124"/>
      <c r="D22" s="124"/>
    </row>
    <row r="23" spans="1:4" ht="13.5" customHeight="1">
      <c r="A23" s="41" t="s">
        <v>98</v>
      </c>
      <c r="B23" s="80"/>
      <c r="C23" s="80"/>
      <c r="D23" s="80"/>
    </row>
    <row r="24" spans="1:4" ht="13.5" customHeight="1">
      <c r="A24" s="6" t="s">
        <v>12</v>
      </c>
      <c r="B24" s="79" t="s">
        <v>76</v>
      </c>
      <c r="C24" s="118">
        <v>2.16</v>
      </c>
      <c r="D24" s="125">
        <f>C24*B8*8</f>
        <v>46802.880000000005</v>
      </c>
    </row>
    <row r="25" spans="1:4" ht="12.75" customHeight="1">
      <c r="A25" s="6" t="s">
        <v>13</v>
      </c>
      <c r="B25" s="79" t="s">
        <v>76</v>
      </c>
      <c r="C25" s="118"/>
      <c r="D25" s="126"/>
    </row>
    <row r="26" spans="1:4" ht="14.25" customHeight="1">
      <c r="A26" s="6" t="s">
        <v>14</v>
      </c>
      <c r="B26" s="79" t="s">
        <v>76</v>
      </c>
      <c r="C26" s="118"/>
      <c r="D26" s="126"/>
    </row>
    <row r="27" spans="1:4" ht="13.5" customHeight="1">
      <c r="A27" s="6" t="s">
        <v>15</v>
      </c>
      <c r="B27" s="79" t="s">
        <v>77</v>
      </c>
      <c r="C27" s="118"/>
      <c r="D27" s="126"/>
    </row>
    <row r="28" spans="1:4" ht="12.75" customHeight="1">
      <c r="A28" s="41" t="s">
        <v>94</v>
      </c>
      <c r="B28" s="79"/>
      <c r="C28" s="118"/>
      <c r="D28" s="126"/>
    </row>
    <row r="29" spans="1:4" ht="30" customHeight="1">
      <c r="A29" s="6" t="s">
        <v>16</v>
      </c>
      <c r="B29" s="79" t="s">
        <v>95</v>
      </c>
      <c r="C29" s="118"/>
      <c r="D29" s="127"/>
    </row>
    <row r="30" spans="1:4" ht="12.75" customHeight="1">
      <c r="A30" s="121" t="s">
        <v>17</v>
      </c>
      <c r="B30" s="122"/>
      <c r="C30" s="122"/>
      <c r="D30" s="123"/>
    </row>
    <row r="31" spans="1:4" ht="12" customHeight="1">
      <c r="A31" s="7" t="s">
        <v>18</v>
      </c>
      <c r="B31" s="21" t="s">
        <v>79</v>
      </c>
      <c r="C31" s="118">
        <v>0.2</v>
      </c>
      <c r="D31" s="128">
        <f>C31*B8*8</f>
        <v>4333.6000000000004</v>
      </c>
    </row>
    <row r="32" spans="1:4" ht="12" customHeight="1">
      <c r="A32" s="7" t="s">
        <v>19</v>
      </c>
      <c r="B32" s="21" t="s">
        <v>78</v>
      </c>
      <c r="C32" s="118"/>
      <c r="D32" s="128"/>
    </row>
    <row r="33" spans="1:4" ht="13.5" customHeight="1">
      <c r="A33" s="121" t="s">
        <v>20</v>
      </c>
      <c r="B33" s="122"/>
      <c r="C33" s="122"/>
      <c r="D33" s="123"/>
    </row>
    <row r="34" spans="1:4">
      <c r="A34" s="128" t="s">
        <v>21</v>
      </c>
      <c r="B34" s="128"/>
      <c r="C34" s="128"/>
      <c r="D34" s="128"/>
    </row>
    <row r="35" spans="1:4" ht="37.5" customHeight="1">
      <c r="A35" s="8" t="s">
        <v>22</v>
      </c>
      <c r="B35" s="22" t="s">
        <v>80</v>
      </c>
      <c r="C35" s="118">
        <v>0.61</v>
      </c>
      <c r="D35" s="117">
        <f>C35*B8*8</f>
        <v>13217.48</v>
      </c>
    </row>
    <row r="36" spans="1:4" ht="15" customHeight="1">
      <c r="A36" s="9" t="s">
        <v>24</v>
      </c>
      <c r="B36" s="23" t="s">
        <v>81</v>
      </c>
      <c r="C36" s="118"/>
      <c r="D36" s="126"/>
    </row>
    <row r="37" spans="1:4" ht="13.5" customHeight="1">
      <c r="A37" s="9" t="s">
        <v>26</v>
      </c>
      <c r="B37" s="23" t="s">
        <v>81</v>
      </c>
      <c r="C37" s="118"/>
      <c r="D37" s="126"/>
    </row>
    <row r="38" spans="1:4" ht="36" customHeight="1">
      <c r="A38" s="9" t="s">
        <v>27</v>
      </c>
      <c r="B38" s="22" t="s">
        <v>23</v>
      </c>
      <c r="C38" s="118"/>
      <c r="D38" s="126"/>
    </row>
    <row r="39" spans="1:4" ht="14.25" customHeight="1">
      <c r="A39" s="9" t="s">
        <v>28</v>
      </c>
      <c r="B39" s="22" t="s">
        <v>25</v>
      </c>
      <c r="C39" s="118"/>
      <c r="D39" s="126"/>
    </row>
    <row r="40" spans="1:4" ht="33.75" customHeight="1">
      <c r="A40" s="24" t="s">
        <v>29</v>
      </c>
      <c r="B40" s="22" t="s">
        <v>23</v>
      </c>
      <c r="C40" s="129"/>
      <c r="D40" s="127"/>
    </row>
    <row r="41" spans="1:4" ht="15.75" customHeight="1">
      <c r="A41" s="128" t="s">
        <v>66</v>
      </c>
      <c r="B41" s="128"/>
      <c r="C41" s="128"/>
      <c r="D41" s="128"/>
    </row>
    <row r="42" spans="1:4" ht="36.75" customHeight="1">
      <c r="A42" s="9" t="s">
        <v>67</v>
      </c>
      <c r="B42" s="22" t="s">
        <v>80</v>
      </c>
      <c r="C42" s="117">
        <v>1</v>
      </c>
      <c r="D42" s="118">
        <f>C42*B8*8</f>
        <v>21668</v>
      </c>
    </row>
    <row r="43" spans="1:4" ht="14.25" customHeight="1">
      <c r="A43" s="9" t="s">
        <v>68</v>
      </c>
      <c r="B43" s="22" t="s">
        <v>81</v>
      </c>
      <c r="C43" s="117"/>
      <c r="D43" s="119"/>
    </row>
    <row r="44" spans="1:4" ht="14.25" customHeight="1">
      <c r="A44" s="9" t="s">
        <v>69</v>
      </c>
      <c r="B44" s="22" t="s">
        <v>81</v>
      </c>
      <c r="C44" s="117"/>
      <c r="D44" s="119"/>
    </row>
    <row r="45" spans="1:4" ht="24" customHeight="1">
      <c r="A45" s="9" t="s">
        <v>70</v>
      </c>
      <c r="B45" s="22" t="s">
        <v>80</v>
      </c>
      <c r="C45" s="117"/>
      <c r="D45" s="119"/>
    </row>
    <row r="46" spans="1:4" ht="25.5" customHeight="1">
      <c r="A46" s="10" t="s">
        <v>71</v>
      </c>
      <c r="B46" s="22" t="s">
        <v>80</v>
      </c>
      <c r="C46" s="117"/>
      <c r="D46" s="119"/>
    </row>
    <row r="47" spans="1:4" ht="14.25" customHeight="1">
      <c r="A47" s="9" t="s">
        <v>72</v>
      </c>
      <c r="B47" s="22" t="s">
        <v>85</v>
      </c>
      <c r="C47" s="117"/>
      <c r="D47" s="120"/>
    </row>
    <row r="48" spans="1:4" ht="11.25" customHeight="1">
      <c r="A48" s="130" t="s">
        <v>30</v>
      </c>
      <c r="B48" s="130"/>
      <c r="C48" s="130"/>
      <c r="D48" s="130"/>
    </row>
    <row r="49" spans="1:4" ht="35.25" customHeight="1">
      <c r="A49" s="9" t="s">
        <v>31</v>
      </c>
      <c r="B49" s="22" t="s">
        <v>23</v>
      </c>
      <c r="C49" s="117">
        <v>0.7</v>
      </c>
      <c r="D49" s="118">
        <f>C49*8*B8</f>
        <v>15167.599999999999</v>
      </c>
    </row>
    <row r="50" spans="1:4" ht="38.25" customHeight="1">
      <c r="A50" s="9" t="s">
        <v>32</v>
      </c>
      <c r="B50" s="22" t="s">
        <v>23</v>
      </c>
      <c r="C50" s="117"/>
      <c r="D50" s="118"/>
    </row>
    <row r="51" spans="1:4" ht="15" customHeight="1">
      <c r="A51" s="10" t="s">
        <v>33</v>
      </c>
      <c r="B51" s="22" t="s">
        <v>23</v>
      </c>
      <c r="C51" s="117"/>
      <c r="D51" s="118"/>
    </row>
    <row r="52" spans="1:4" ht="12.75" customHeight="1">
      <c r="A52" s="128" t="s">
        <v>34</v>
      </c>
      <c r="B52" s="128"/>
      <c r="C52" s="128"/>
      <c r="D52" s="128"/>
    </row>
    <row r="53" spans="1:4" ht="29.25" customHeight="1">
      <c r="A53" s="9" t="s">
        <v>35</v>
      </c>
      <c r="B53" s="22" t="s">
        <v>78</v>
      </c>
      <c r="C53" s="117">
        <v>2.7</v>
      </c>
      <c r="D53" s="117">
        <f>C53*8*B8-117.48</f>
        <v>58386.12</v>
      </c>
    </row>
    <row r="54" spans="1:4" ht="14.25" customHeight="1">
      <c r="A54" s="9" t="s">
        <v>36</v>
      </c>
      <c r="B54" s="22" t="s">
        <v>82</v>
      </c>
      <c r="C54" s="117"/>
      <c r="D54" s="117"/>
    </row>
    <row r="55" spans="1:4" ht="17.25" customHeight="1">
      <c r="A55" s="9" t="s">
        <v>37</v>
      </c>
      <c r="B55" s="22" t="s">
        <v>82</v>
      </c>
      <c r="C55" s="117"/>
      <c r="D55" s="117"/>
    </row>
    <row r="56" spans="1:4" ht="24.75" customHeight="1">
      <c r="A56" s="9" t="s">
        <v>38</v>
      </c>
      <c r="B56" s="22" t="s">
        <v>83</v>
      </c>
      <c r="C56" s="117"/>
      <c r="D56" s="117"/>
    </row>
    <row r="57" spans="1:4" ht="30" customHeight="1">
      <c r="A57" s="9" t="s">
        <v>39</v>
      </c>
      <c r="B57" s="22" t="s">
        <v>83</v>
      </c>
      <c r="C57" s="117"/>
      <c r="D57" s="117"/>
    </row>
    <row r="58" spans="1:4" ht="12.75" customHeight="1">
      <c r="A58" s="80" t="s">
        <v>96</v>
      </c>
      <c r="B58" s="6"/>
      <c r="C58" s="117"/>
      <c r="D58" s="117"/>
    </row>
    <row r="59" spans="1:4" ht="35.25" customHeight="1">
      <c r="A59" s="9" t="s">
        <v>41</v>
      </c>
      <c r="B59" s="22" t="s">
        <v>80</v>
      </c>
      <c r="C59" s="117"/>
      <c r="D59" s="117"/>
    </row>
    <row r="60" spans="1:4" ht="14.25" customHeight="1">
      <c r="A60" s="9" t="s">
        <v>42</v>
      </c>
      <c r="B60" s="22" t="s">
        <v>81</v>
      </c>
      <c r="C60" s="117"/>
      <c r="D60" s="117"/>
    </row>
    <row r="61" spans="1:4" ht="14.25" customHeight="1">
      <c r="A61" s="9" t="s">
        <v>43</v>
      </c>
      <c r="B61" s="23" t="s">
        <v>81</v>
      </c>
      <c r="C61" s="117"/>
      <c r="D61" s="117"/>
    </row>
    <row r="62" spans="1:4" ht="13.5" customHeight="1">
      <c r="A62" s="9" t="s">
        <v>44</v>
      </c>
      <c r="B62" s="23" t="s">
        <v>81</v>
      </c>
      <c r="C62" s="117"/>
      <c r="D62" s="117"/>
    </row>
    <row r="63" spans="1:4" ht="13.5" customHeight="1">
      <c r="A63" s="9" t="s">
        <v>45</v>
      </c>
      <c r="B63" s="21" t="s">
        <v>252</v>
      </c>
      <c r="C63" s="117"/>
      <c r="D63" s="117"/>
    </row>
    <row r="64" spans="1:4" ht="36.75" customHeight="1">
      <c r="A64" s="10" t="s">
        <v>46</v>
      </c>
      <c r="B64" s="22" t="s">
        <v>23</v>
      </c>
      <c r="C64" s="117"/>
      <c r="D64" s="117"/>
    </row>
    <row r="65" spans="1:4" ht="22.5" customHeight="1">
      <c r="A65" s="10"/>
      <c r="B65" s="22"/>
      <c r="C65" s="78"/>
      <c r="D65" s="78"/>
    </row>
    <row r="66" spans="1:4">
      <c r="A66" s="128" t="s">
        <v>47</v>
      </c>
      <c r="B66" s="128"/>
      <c r="C66" s="128"/>
      <c r="D66" s="128"/>
    </row>
    <row r="67" spans="1:4" ht="15.75" customHeight="1">
      <c r="A67" s="9" t="s">
        <v>48</v>
      </c>
      <c r="B67" s="22" t="s">
        <v>84</v>
      </c>
      <c r="C67" s="129">
        <v>0.75</v>
      </c>
      <c r="D67" s="125">
        <f>C67*B8*8</f>
        <v>16251</v>
      </c>
    </row>
    <row r="68" spans="1:4" ht="12.75" customHeight="1">
      <c r="A68" s="9" t="s">
        <v>49</v>
      </c>
      <c r="B68" s="22" t="s">
        <v>84</v>
      </c>
      <c r="C68" s="119"/>
      <c r="D68" s="126"/>
    </row>
    <row r="69" spans="1:4" ht="24.75" customHeight="1">
      <c r="A69" s="9" t="s">
        <v>50</v>
      </c>
      <c r="B69" s="22" t="s">
        <v>84</v>
      </c>
      <c r="C69" s="119"/>
      <c r="D69" s="126"/>
    </row>
    <row r="70" spans="1:4" ht="16.5" customHeight="1">
      <c r="A70" s="9" t="s">
        <v>51</v>
      </c>
      <c r="B70" s="22" t="s">
        <v>84</v>
      </c>
      <c r="C70" s="119"/>
      <c r="D70" s="126"/>
    </row>
    <row r="71" spans="1:4" ht="39.75" customHeight="1">
      <c r="A71" s="10" t="s">
        <v>52</v>
      </c>
      <c r="B71" s="22" t="s">
        <v>23</v>
      </c>
      <c r="C71" s="119"/>
      <c r="D71" s="126"/>
    </row>
    <row r="72" spans="1:4" ht="16.5" customHeight="1">
      <c r="A72" s="10" t="s">
        <v>53</v>
      </c>
      <c r="B72" s="23" t="s">
        <v>85</v>
      </c>
      <c r="C72" s="120"/>
      <c r="D72" s="127"/>
    </row>
    <row r="73" spans="1:4">
      <c r="A73" s="121" t="s">
        <v>86</v>
      </c>
      <c r="B73" s="122"/>
      <c r="C73" s="122"/>
      <c r="D73" s="123"/>
    </row>
    <row r="74" spans="1:4" ht="26.25" customHeight="1">
      <c r="A74" s="156" t="s">
        <v>97</v>
      </c>
      <c r="B74" s="141" t="s">
        <v>87</v>
      </c>
      <c r="C74" s="118">
        <v>2.41</v>
      </c>
      <c r="D74" s="117">
        <f>C74*B8*8</f>
        <v>52219.880000000005</v>
      </c>
    </row>
    <row r="75" spans="1:4" ht="13.5" customHeight="1">
      <c r="A75" s="157"/>
      <c r="B75" s="141"/>
      <c r="C75" s="118"/>
      <c r="D75" s="117"/>
    </row>
    <row r="76" spans="1:4" ht="15" customHeight="1">
      <c r="A76" s="121" t="s">
        <v>56</v>
      </c>
      <c r="B76" s="122"/>
      <c r="C76" s="122"/>
      <c r="D76" s="123"/>
    </row>
    <row r="77" spans="1:4" ht="16.5" customHeight="1">
      <c r="A77" s="6" t="s">
        <v>91</v>
      </c>
      <c r="B77" s="21" t="s">
        <v>88</v>
      </c>
      <c r="C77" s="131">
        <v>2.14</v>
      </c>
      <c r="D77" s="133">
        <v>46365.96</v>
      </c>
    </row>
    <row r="78" spans="1:4">
      <c r="A78" s="6" t="s">
        <v>92</v>
      </c>
      <c r="B78" s="21" t="s">
        <v>88</v>
      </c>
      <c r="C78" s="132"/>
      <c r="D78" s="134"/>
    </row>
    <row r="79" spans="1:4" ht="15" customHeight="1">
      <c r="A79" s="6" t="s">
        <v>93</v>
      </c>
      <c r="B79" s="21" t="s">
        <v>88</v>
      </c>
      <c r="C79" s="130"/>
      <c r="D79" s="135"/>
    </row>
    <row r="80" spans="1:4" ht="38.25" customHeight="1">
      <c r="A80" s="6" t="s">
        <v>165</v>
      </c>
      <c r="B80" s="22" t="s">
        <v>23</v>
      </c>
      <c r="C80" s="76">
        <v>4.3499999999999996</v>
      </c>
      <c r="D80" s="76">
        <v>94250.16</v>
      </c>
    </row>
    <row r="81" spans="1:4">
      <c r="A81" s="80" t="s">
        <v>57</v>
      </c>
      <c r="B81" s="23"/>
      <c r="C81" s="28">
        <f>C80+C77+C74+C67+C53+C49+C42+C35+C31+C24+C21+C20+C19+C18+C17+C16+C14+C13</f>
        <v>21.624314196049479</v>
      </c>
      <c r="D81" s="57">
        <f>D80+D77+D74+D67+D53+D49+D42+D35+D31+D24+D21+D20+D19+D18+D17+D16+D14+D13</f>
        <v>468428.9599999999</v>
      </c>
    </row>
    <row r="83" spans="1:4">
      <c r="D83" s="42">
        <v>327812.84000000003</v>
      </c>
    </row>
    <row r="84" spans="1:4">
      <c r="D84" s="42">
        <f>D83+D80+D77</f>
        <v>468428.96</v>
      </c>
    </row>
    <row r="85" spans="1:4">
      <c r="D85" s="42">
        <f>D84-D81</f>
        <v>0</v>
      </c>
    </row>
    <row r="86" spans="1:4">
      <c r="D86" s="42"/>
    </row>
  </sheetData>
  <mergeCells count="31">
    <mergeCell ref="C42:C47"/>
    <mergeCell ref="D42:D47"/>
    <mergeCell ref="A12:D12"/>
    <mergeCell ref="A22:D22"/>
    <mergeCell ref="C24:C29"/>
    <mergeCell ref="D24:D29"/>
    <mergeCell ref="A30:D30"/>
    <mergeCell ref="C31:C32"/>
    <mergeCell ref="D31:D32"/>
    <mergeCell ref="A33:D33"/>
    <mergeCell ref="A34:D34"/>
    <mergeCell ref="C35:C40"/>
    <mergeCell ref="D35:D40"/>
    <mergeCell ref="A41:D41"/>
    <mergeCell ref="A48:D48"/>
    <mergeCell ref="C49:C51"/>
    <mergeCell ref="D49:D51"/>
    <mergeCell ref="A52:D52"/>
    <mergeCell ref="C53:C64"/>
    <mergeCell ref="D53:D64"/>
    <mergeCell ref="A76:D76"/>
    <mergeCell ref="C77:C79"/>
    <mergeCell ref="D77:D79"/>
    <mergeCell ref="A66:D66"/>
    <mergeCell ref="A73:D73"/>
    <mergeCell ref="A74:A75"/>
    <mergeCell ref="B74:B75"/>
    <mergeCell ref="C74:C75"/>
    <mergeCell ref="D74:D75"/>
    <mergeCell ref="D67:D72"/>
    <mergeCell ref="C67:C7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83"/>
  <sheetViews>
    <sheetView topLeftCell="A61" workbookViewId="0">
      <selection activeCell="A82" sqref="A82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248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1989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1</v>
      </c>
      <c r="C6" s="2"/>
      <c r="D6" s="2"/>
    </row>
    <row r="7" spans="1:4">
      <c r="A7" s="25" t="s">
        <v>62</v>
      </c>
      <c r="B7" s="2">
        <v>43</v>
      </c>
      <c r="C7" s="2"/>
      <c r="D7" s="2"/>
    </row>
    <row r="8" spans="1:4">
      <c r="A8" s="25" t="s">
        <v>73</v>
      </c>
      <c r="B8" s="2">
        <v>1625.7</v>
      </c>
      <c r="C8" s="2"/>
      <c r="D8" s="48"/>
    </row>
    <row r="9" spans="1:4">
      <c r="A9" s="25" t="s">
        <v>63</v>
      </c>
      <c r="B9" s="2">
        <v>826.2</v>
      </c>
      <c r="C9" s="2"/>
      <c r="D9" s="2"/>
    </row>
    <row r="10" spans="1:4">
      <c r="A10" s="25" t="s">
        <v>74</v>
      </c>
      <c r="B10" s="48">
        <v>524.4</v>
      </c>
      <c r="C10" s="2"/>
      <c r="D10" s="2"/>
    </row>
    <row r="11" spans="1:4" ht="36.75">
      <c r="A11" s="79" t="s">
        <v>1</v>
      </c>
      <c r="B11" s="79" t="s">
        <v>2</v>
      </c>
      <c r="C11" s="79" t="s">
        <v>3</v>
      </c>
      <c r="D11" s="79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9" t="s">
        <v>7</v>
      </c>
      <c r="C13" s="77">
        <v>0.14000000000000001</v>
      </c>
      <c r="D13" s="29">
        <f>C13*8*B8</f>
        <v>1820.7840000000003</v>
      </c>
    </row>
    <row r="14" spans="1:4" ht="75.75" customHeight="1">
      <c r="A14" s="6" t="s">
        <v>90</v>
      </c>
      <c r="B14" s="79" t="s">
        <v>9</v>
      </c>
      <c r="C14" s="26">
        <v>2.42</v>
      </c>
      <c r="D14" s="29">
        <f>C14*8*B8</f>
        <v>31473.552</v>
      </c>
    </row>
    <row r="15" spans="1:4">
      <c r="A15" s="6" t="s">
        <v>10</v>
      </c>
      <c r="B15" s="79"/>
      <c r="C15" s="26"/>
      <c r="D15" s="30"/>
    </row>
    <row r="16" spans="1:4">
      <c r="A16" s="6" t="s">
        <v>249</v>
      </c>
      <c r="B16" s="79" t="s">
        <v>140</v>
      </c>
      <c r="C16" s="46">
        <f>1200/8/B8</f>
        <v>9.2267946115519472E-2</v>
      </c>
      <c r="D16" s="30">
        <f>C16*8*B8</f>
        <v>1200</v>
      </c>
    </row>
    <row r="17" spans="1:4">
      <c r="A17" s="6" t="s">
        <v>250</v>
      </c>
      <c r="B17" s="79" t="s">
        <v>140</v>
      </c>
      <c r="C17" s="46">
        <f>3.59*615/8/B8</f>
        <v>0.16976148735929136</v>
      </c>
      <c r="D17" s="30">
        <f>C17*8*B9</f>
        <v>1122.0555268499722</v>
      </c>
    </row>
    <row r="18" spans="1:4">
      <c r="A18" s="82" t="s">
        <v>251</v>
      </c>
      <c r="B18" s="79" t="s">
        <v>112</v>
      </c>
      <c r="C18" s="46">
        <f>18746/8/B8</f>
        <v>1.4413790982346066</v>
      </c>
      <c r="D18" s="30">
        <f>C18*8*B8</f>
        <v>18746</v>
      </c>
    </row>
    <row r="19" spans="1:4">
      <c r="A19" s="124" t="s">
        <v>11</v>
      </c>
      <c r="B19" s="124"/>
      <c r="C19" s="124"/>
      <c r="D19" s="124"/>
    </row>
    <row r="20" spans="1:4" ht="13.5" customHeight="1">
      <c r="A20" s="41" t="s">
        <v>98</v>
      </c>
      <c r="B20" s="80"/>
      <c r="C20" s="80"/>
      <c r="D20" s="80"/>
    </row>
    <row r="21" spans="1:4" ht="13.5" customHeight="1">
      <c r="A21" s="6" t="s">
        <v>12</v>
      </c>
      <c r="B21" s="79" t="s">
        <v>76</v>
      </c>
      <c r="C21" s="118">
        <v>2.16</v>
      </c>
      <c r="D21" s="125">
        <f>C21*B8*8</f>
        <v>28092.096000000001</v>
      </c>
    </row>
    <row r="22" spans="1:4" ht="12.75" customHeight="1">
      <c r="A22" s="6" t="s">
        <v>13</v>
      </c>
      <c r="B22" s="79" t="s">
        <v>76</v>
      </c>
      <c r="C22" s="118"/>
      <c r="D22" s="126"/>
    </row>
    <row r="23" spans="1:4" ht="14.25" customHeight="1">
      <c r="A23" s="6" t="s">
        <v>14</v>
      </c>
      <c r="B23" s="79" t="s">
        <v>76</v>
      </c>
      <c r="C23" s="118"/>
      <c r="D23" s="126"/>
    </row>
    <row r="24" spans="1:4" ht="13.5" customHeight="1">
      <c r="A24" s="6" t="s">
        <v>15</v>
      </c>
      <c r="B24" s="79" t="s">
        <v>77</v>
      </c>
      <c r="C24" s="118"/>
      <c r="D24" s="126"/>
    </row>
    <row r="25" spans="1:4" ht="12.75" customHeight="1">
      <c r="A25" s="41" t="s">
        <v>94</v>
      </c>
      <c r="B25" s="79"/>
      <c r="C25" s="118"/>
      <c r="D25" s="126"/>
    </row>
    <row r="26" spans="1:4" ht="30" customHeight="1">
      <c r="A26" s="6" t="s">
        <v>16</v>
      </c>
      <c r="B26" s="79" t="s">
        <v>95</v>
      </c>
      <c r="C26" s="118"/>
      <c r="D26" s="127"/>
    </row>
    <row r="27" spans="1:4" ht="12.75" customHeight="1">
      <c r="A27" s="121" t="s">
        <v>17</v>
      </c>
      <c r="B27" s="122"/>
      <c r="C27" s="122"/>
      <c r="D27" s="123"/>
    </row>
    <row r="28" spans="1:4" ht="12" customHeight="1">
      <c r="A28" s="7" t="s">
        <v>18</v>
      </c>
      <c r="B28" s="21" t="s">
        <v>79</v>
      </c>
      <c r="C28" s="118">
        <v>0.2</v>
      </c>
      <c r="D28" s="128">
        <f>C28*B8*8</f>
        <v>2601.1200000000003</v>
      </c>
    </row>
    <row r="29" spans="1:4" ht="12" customHeight="1">
      <c r="A29" s="7" t="s">
        <v>19</v>
      </c>
      <c r="B29" s="21" t="s">
        <v>78</v>
      </c>
      <c r="C29" s="118"/>
      <c r="D29" s="128"/>
    </row>
    <row r="30" spans="1:4" ht="13.5" customHeight="1">
      <c r="A30" s="121" t="s">
        <v>20</v>
      </c>
      <c r="B30" s="122"/>
      <c r="C30" s="122"/>
      <c r="D30" s="123"/>
    </row>
    <row r="31" spans="1:4">
      <c r="A31" s="128" t="s">
        <v>21</v>
      </c>
      <c r="B31" s="128"/>
      <c r="C31" s="128"/>
      <c r="D31" s="128"/>
    </row>
    <row r="32" spans="1:4" ht="37.5" customHeight="1">
      <c r="A32" s="8" t="s">
        <v>22</v>
      </c>
      <c r="B32" s="22" t="s">
        <v>80</v>
      </c>
      <c r="C32" s="118">
        <v>0.61</v>
      </c>
      <c r="D32" s="117">
        <f>C32*B8*8</f>
        <v>7933.4160000000002</v>
      </c>
    </row>
    <row r="33" spans="1:4" ht="15" customHeight="1">
      <c r="A33" s="9" t="s">
        <v>24</v>
      </c>
      <c r="B33" s="23" t="s">
        <v>81</v>
      </c>
      <c r="C33" s="118"/>
      <c r="D33" s="126"/>
    </row>
    <row r="34" spans="1:4" ht="13.5" customHeight="1">
      <c r="A34" s="9" t="s">
        <v>26</v>
      </c>
      <c r="B34" s="23" t="s">
        <v>81</v>
      </c>
      <c r="C34" s="118"/>
      <c r="D34" s="126"/>
    </row>
    <row r="35" spans="1:4" ht="36" customHeight="1">
      <c r="A35" s="9" t="s">
        <v>27</v>
      </c>
      <c r="B35" s="22" t="s">
        <v>23</v>
      </c>
      <c r="C35" s="118"/>
      <c r="D35" s="126"/>
    </row>
    <row r="36" spans="1:4" ht="14.25" customHeight="1">
      <c r="A36" s="9" t="s">
        <v>28</v>
      </c>
      <c r="B36" s="22" t="s">
        <v>25</v>
      </c>
      <c r="C36" s="118"/>
      <c r="D36" s="126"/>
    </row>
    <row r="37" spans="1:4" ht="33.75" customHeight="1">
      <c r="A37" s="24" t="s">
        <v>29</v>
      </c>
      <c r="B37" s="22" t="s">
        <v>23</v>
      </c>
      <c r="C37" s="129"/>
      <c r="D37" s="127"/>
    </row>
    <row r="38" spans="1:4" ht="15.75" customHeight="1">
      <c r="A38" s="128" t="s">
        <v>66</v>
      </c>
      <c r="B38" s="128"/>
      <c r="C38" s="128"/>
      <c r="D38" s="128"/>
    </row>
    <row r="39" spans="1:4" ht="36.75" customHeight="1">
      <c r="A39" s="9" t="s">
        <v>67</v>
      </c>
      <c r="B39" s="22" t="s">
        <v>80</v>
      </c>
      <c r="C39" s="117">
        <v>1</v>
      </c>
      <c r="D39" s="118">
        <f>C39*B8*8</f>
        <v>13005.6</v>
      </c>
    </row>
    <row r="40" spans="1:4" ht="14.25" customHeight="1">
      <c r="A40" s="9" t="s">
        <v>68</v>
      </c>
      <c r="B40" s="22" t="s">
        <v>81</v>
      </c>
      <c r="C40" s="117"/>
      <c r="D40" s="119"/>
    </row>
    <row r="41" spans="1:4" ht="14.25" customHeight="1">
      <c r="A41" s="9" t="s">
        <v>69</v>
      </c>
      <c r="B41" s="22" t="s">
        <v>81</v>
      </c>
      <c r="C41" s="117"/>
      <c r="D41" s="119"/>
    </row>
    <row r="42" spans="1:4" ht="24" customHeight="1">
      <c r="A42" s="9" t="s">
        <v>70</v>
      </c>
      <c r="B42" s="22" t="s">
        <v>80</v>
      </c>
      <c r="C42" s="117"/>
      <c r="D42" s="119"/>
    </row>
    <row r="43" spans="1:4" ht="25.5" customHeight="1">
      <c r="A43" s="10" t="s">
        <v>71</v>
      </c>
      <c r="B43" s="22" t="s">
        <v>80</v>
      </c>
      <c r="C43" s="117"/>
      <c r="D43" s="119"/>
    </row>
    <row r="44" spans="1:4" ht="14.25" customHeight="1">
      <c r="A44" s="9" t="s">
        <v>72</v>
      </c>
      <c r="B44" s="22" t="s">
        <v>85</v>
      </c>
      <c r="C44" s="117"/>
      <c r="D44" s="120"/>
    </row>
    <row r="45" spans="1:4" ht="11.25" customHeight="1">
      <c r="A45" s="130" t="s">
        <v>30</v>
      </c>
      <c r="B45" s="130"/>
      <c r="C45" s="130"/>
      <c r="D45" s="130"/>
    </row>
    <row r="46" spans="1:4" ht="35.25" customHeight="1">
      <c r="A46" s="9" t="s">
        <v>31</v>
      </c>
      <c r="B46" s="22" t="s">
        <v>23</v>
      </c>
      <c r="C46" s="117">
        <v>0.7</v>
      </c>
      <c r="D46" s="118">
        <f>C46*8*B8</f>
        <v>9103.92</v>
      </c>
    </row>
    <row r="47" spans="1:4" ht="38.25" customHeight="1">
      <c r="A47" s="9" t="s">
        <v>32</v>
      </c>
      <c r="B47" s="22" t="s">
        <v>23</v>
      </c>
      <c r="C47" s="117"/>
      <c r="D47" s="118"/>
    </row>
    <row r="48" spans="1:4" ht="15" customHeight="1">
      <c r="A48" s="10" t="s">
        <v>33</v>
      </c>
      <c r="B48" s="22" t="s">
        <v>23</v>
      </c>
      <c r="C48" s="117"/>
      <c r="D48" s="118"/>
    </row>
    <row r="49" spans="1:4" ht="12.75" customHeight="1">
      <c r="A49" s="128" t="s">
        <v>34</v>
      </c>
      <c r="B49" s="128"/>
      <c r="C49" s="128"/>
      <c r="D49" s="128"/>
    </row>
    <row r="50" spans="1:4" ht="29.25" customHeight="1">
      <c r="A50" s="9" t="s">
        <v>35</v>
      </c>
      <c r="B50" s="22" t="s">
        <v>78</v>
      </c>
      <c r="C50" s="117">
        <v>2.62</v>
      </c>
      <c r="D50" s="117">
        <f>C50*8*B8+1085.61</f>
        <v>35160.282000000007</v>
      </c>
    </row>
    <row r="51" spans="1:4" ht="14.25" customHeight="1">
      <c r="A51" s="9" t="s">
        <v>36</v>
      </c>
      <c r="B51" s="22" t="s">
        <v>82</v>
      </c>
      <c r="C51" s="117"/>
      <c r="D51" s="117"/>
    </row>
    <row r="52" spans="1:4" ht="17.25" customHeight="1">
      <c r="A52" s="9" t="s">
        <v>37</v>
      </c>
      <c r="B52" s="22" t="s">
        <v>82</v>
      </c>
      <c r="C52" s="117"/>
      <c r="D52" s="117"/>
    </row>
    <row r="53" spans="1:4" ht="24.75" customHeight="1">
      <c r="A53" s="9" t="s">
        <v>38</v>
      </c>
      <c r="B53" s="22" t="s">
        <v>83</v>
      </c>
      <c r="C53" s="117"/>
      <c r="D53" s="117"/>
    </row>
    <row r="54" spans="1:4" ht="30" customHeight="1">
      <c r="A54" s="9" t="s">
        <v>39</v>
      </c>
      <c r="B54" s="22" t="s">
        <v>83</v>
      </c>
      <c r="C54" s="117"/>
      <c r="D54" s="117"/>
    </row>
    <row r="55" spans="1:4" ht="12.75" customHeight="1">
      <c r="A55" s="80" t="s">
        <v>96</v>
      </c>
      <c r="B55" s="6"/>
      <c r="C55" s="117"/>
      <c r="D55" s="117"/>
    </row>
    <row r="56" spans="1:4" ht="35.25" customHeight="1">
      <c r="A56" s="9" t="s">
        <v>41</v>
      </c>
      <c r="B56" s="22" t="s">
        <v>80</v>
      </c>
      <c r="C56" s="117"/>
      <c r="D56" s="117"/>
    </row>
    <row r="57" spans="1:4" ht="14.25" customHeight="1">
      <c r="A57" s="9" t="s">
        <v>42</v>
      </c>
      <c r="B57" s="22" t="s">
        <v>81</v>
      </c>
      <c r="C57" s="117"/>
      <c r="D57" s="117"/>
    </row>
    <row r="58" spans="1:4" ht="14.25" customHeight="1">
      <c r="A58" s="9" t="s">
        <v>43</v>
      </c>
      <c r="B58" s="23" t="s">
        <v>81</v>
      </c>
      <c r="C58" s="117"/>
      <c r="D58" s="117"/>
    </row>
    <row r="59" spans="1:4" ht="13.5" customHeight="1">
      <c r="A59" s="9" t="s">
        <v>44</v>
      </c>
      <c r="B59" s="23" t="s">
        <v>81</v>
      </c>
      <c r="C59" s="117"/>
      <c r="D59" s="117"/>
    </row>
    <row r="60" spans="1:4" ht="13.5" customHeight="1">
      <c r="A60" s="9" t="s">
        <v>45</v>
      </c>
      <c r="B60" s="21" t="s">
        <v>252</v>
      </c>
      <c r="C60" s="117"/>
      <c r="D60" s="117"/>
    </row>
    <row r="61" spans="1:4" ht="36.75" customHeight="1">
      <c r="A61" s="10" t="s">
        <v>46</v>
      </c>
      <c r="B61" s="22" t="s">
        <v>23</v>
      </c>
      <c r="C61" s="117"/>
      <c r="D61" s="117"/>
    </row>
    <row r="62" spans="1:4" ht="22.5" customHeight="1">
      <c r="A62" s="10"/>
      <c r="B62" s="22"/>
      <c r="C62" s="78"/>
      <c r="D62" s="78"/>
    </row>
    <row r="63" spans="1:4">
      <c r="A63" s="128" t="s">
        <v>47</v>
      </c>
      <c r="B63" s="128"/>
      <c r="C63" s="128"/>
      <c r="D63" s="128"/>
    </row>
    <row r="64" spans="1:4" ht="15.75" customHeight="1">
      <c r="A64" s="9" t="s">
        <v>48</v>
      </c>
      <c r="B64" s="22" t="s">
        <v>84</v>
      </c>
      <c r="C64" s="158">
        <v>1.17</v>
      </c>
      <c r="D64" s="125">
        <f>C64*B8*8</f>
        <v>15216.552</v>
      </c>
    </row>
    <row r="65" spans="1:4" ht="12.75" customHeight="1">
      <c r="A65" s="9" t="s">
        <v>49</v>
      </c>
      <c r="B65" s="22" t="s">
        <v>84</v>
      </c>
      <c r="C65" s="159"/>
      <c r="D65" s="126"/>
    </row>
    <row r="66" spans="1:4" ht="26.25" customHeight="1">
      <c r="A66" s="9" t="s">
        <v>50</v>
      </c>
      <c r="B66" s="22" t="s">
        <v>84</v>
      </c>
      <c r="C66" s="159"/>
      <c r="D66" s="126"/>
    </row>
    <row r="67" spans="1:4" ht="16.5" customHeight="1">
      <c r="A67" s="9" t="s">
        <v>51</v>
      </c>
      <c r="B67" s="22" t="s">
        <v>84</v>
      </c>
      <c r="C67" s="159"/>
      <c r="D67" s="126"/>
    </row>
    <row r="68" spans="1:4" ht="39.75" customHeight="1">
      <c r="A68" s="10" t="s">
        <v>52</v>
      </c>
      <c r="B68" s="22" t="s">
        <v>23</v>
      </c>
      <c r="C68" s="159"/>
      <c r="D68" s="126"/>
    </row>
    <row r="69" spans="1:4" ht="16.5" customHeight="1">
      <c r="A69" s="10" t="s">
        <v>53</v>
      </c>
      <c r="B69" s="23" t="s">
        <v>85</v>
      </c>
      <c r="C69" s="160"/>
      <c r="D69" s="127"/>
    </row>
    <row r="70" spans="1:4">
      <c r="A70" s="121" t="s">
        <v>86</v>
      </c>
      <c r="B70" s="122"/>
      <c r="C70" s="122"/>
      <c r="D70" s="123"/>
    </row>
    <row r="71" spans="1:4" ht="26.25" customHeight="1">
      <c r="A71" s="156" t="s">
        <v>97</v>
      </c>
      <c r="B71" s="141" t="s">
        <v>87</v>
      </c>
      <c r="C71" s="118">
        <v>2.41</v>
      </c>
      <c r="D71" s="117">
        <f>C71*B8*8</f>
        <v>31343.496000000003</v>
      </c>
    </row>
    <row r="72" spans="1:4" ht="13.5" customHeight="1">
      <c r="A72" s="157"/>
      <c r="B72" s="141"/>
      <c r="C72" s="118"/>
      <c r="D72" s="117"/>
    </row>
    <row r="73" spans="1:4" ht="15" customHeight="1">
      <c r="A73" s="121" t="s">
        <v>56</v>
      </c>
      <c r="B73" s="122"/>
      <c r="C73" s="122"/>
      <c r="D73" s="123"/>
    </row>
    <row r="74" spans="1:4" ht="16.5" customHeight="1">
      <c r="A74" s="6" t="s">
        <v>91</v>
      </c>
      <c r="B74" s="21" t="s">
        <v>88</v>
      </c>
      <c r="C74" s="131">
        <v>2.14</v>
      </c>
      <c r="D74" s="133">
        <v>27838.28</v>
      </c>
    </row>
    <row r="75" spans="1:4">
      <c r="A75" s="6" t="s">
        <v>92</v>
      </c>
      <c r="B75" s="21" t="s">
        <v>88</v>
      </c>
      <c r="C75" s="132"/>
      <c r="D75" s="134"/>
    </row>
    <row r="76" spans="1:4" ht="15" customHeight="1">
      <c r="A76" s="6" t="s">
        <v>93</v>
      </c>
      <c r="B76" s="21" t="s">
        <v>88</v>
      </c>
      <c r="C76" s="130"/>
      <c r="D76" s="135"/>
    </row>
    <row r="77" spans="1:4" ht="38.25" customHeight="1">
      <c r="A77" s="6" t="s">
        <v>165</v>
      </c>
      <c r="B77" s="22" t="s">
        <v>23</v>
      </c>
      <c r="C77" s="76">
        <v>4.3499999999999996</v>
      </c>
      <c r="D77" s="76">
        <v>109106.17</v>
      </c>
    </row>
    <row r="78" spans="1:4">
      <c r="A78" s="80" t="s">
        <v>57</v>
      </c>
      <c r="B78" s="23"/>
      <c r="C78" s="28">
        <f>C77+C74+C71+C64+C50+C46+C39+C32+C28+C21+C18+C17+C16+C14+C13</f>
        <v>21.623408531709416</v>
      </c>
      <c r="D78" s="57">
        <f>D77+D74+D71+D64+D50+D46+D39+D32+D28+D21+D18+D17+D16+D14+D13</f>
        <v>333763.32352685003</v>
      </c>
    </row>
    <row r="80" spans="1:4">
      <c r="D80" s="42"/>
    </row>
    <row r="81" spans="4:4">
      <c r="D81" s="42"/>
    </row>
    <row r="82" spans="4:4">
      <c r="D82" s="42"/>
    </row>
    <row r="83" spans="4:4">
      <c r="D83" s="42"/>
    </row>
  </sheetData>
  <mergeCells count="31">
    <mergeCell ref="C39:C44"/>
    <mergeCell ref="D39:D44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  <mergeCell ref="A45:D45"/>
    <mergeCell ref="C46:C48"/>
    <mergeCell ref="D46:D48"/>
    <mergeCell ref="A49:D49"/>
    <mergeCell ref="C50:C61"/>
    <mergeCell ref="D50:D61"/>
    <mergeCell ref="A73:D73"/>
    <mergeCell ref="C74:C76"/>
    <mergeCell ref="D74:D76"/>
    <mergeCell ref="A63:D63"/>
    <mergeCell ref="A70:D70"/>
    <mergeCell ref="A71:A72"/>
    <mergeCell ref="B71:B72"/>
    <mergeCell ref="C71:C72"/>
    <mergeCell ref="D71:D72"/>
    <mergeCell ref="C64:C69"/>
    <mergeCell ref="D64:D6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81"/>
  <sheetViews>
    <sheetView topLeftCell="A58" workbookViewId="0">
      <selection activeCell="A66" sqref="A66:XFD6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245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1987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6</v>
      </c>
      <c r="C6" s="2"/>
      <c r="D6" s="2"/>
    </row>
    <row r="7" spans="1:4">
      <c r="A7" s="25" t="s">
        <v>62</v>
      </c>
      <c r="B7" s="2">
        <v>72</v>
      </c>
      <c r="C7" s="2"/>
      <c r="D7" s="2"/>
    </row>
    <row r="8" spans="1:4">
      <c r="A8" s="25" t="s">
        <v>73</v>
      </c>
      <c r="B8" s="2">
        <v>3408.9</v>
      </c>
      <c r="C8" s="2"/>
      <c r="D8" s="2"/>
    </row>
    <row r="9" spans="1:4">
      <c r="A9" s="25" t="s">
        <v>63</v>
      </c>
      <c r="B9" s="2">
        <v>355</v>
      </c>
      <c r="C9" s="2"/>
      <c r="D9" s="2"/>
    </row>
    <row r="10" spans="1:4">
      <c r="A10" s="25" t="s">
        <v>74</v>
      </c>
      <c r="B10" s="43">
        <v>894.2</v>
      </c>
      <c r="C10" s="2"/>
      <c r="D10" s="2"/>
    </row>
    <row r="11" spans="1:4" ht="36.75">
      <c r="A11" s="79" t="s">
        <v>1</v>
      </c>
      <c r="B11" s="79" t="s">
        <v>2</v>
      </c>
      <c r="C11" s="79" t="s">
        <v>3</v>
      </c>
      <c r="D11" s="79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9" t="s">
        <v>7</v>
      </c>
      <c r="C13" s="77">
        <v>0.13</v>
      </c>
      <c r="D13" s="29">
        <f>C13*8*B8</f>
        <v>3545.2560000000003</v>
      </c>
    </row>
    <row r="14" spans="1:4" ht="75.75" customHeight="1">
      <c r="A14" s="6" t="s">
        <v>90</v>
      </c>
      <c r="B14" s="79" t="s">
        <v>9</v>
      </c>
      <c r="C14" s="26">
        <v>2.36</v>
      </c>
      <c r="D14" s="29">
        <f>C14*8*B8</f>
        <v>64360.031999999999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80"/>
      <c r="C16" s="80"/>
      <c r="D16" s="80"/>
    </row>
    <row r="17" spans="1:4" ht="13.5" customHeight="1">
      <c r="A17" s="6" t="s">
        <v>12</v>
      </c>
      <c r="B17" s="79" t="s">
        <v>76</v>
      </c>
      <c r="C17" s="118">
        <v>2.13</v>
      </c>
      <c r="D17" s="125">
        <f>C17*B8*8</f>
        <v>58087.655999999995</v>
      </c>
    </row>
    <row r="18" spans="1:4" ht="12.75" customHeight="1">
      <c r="A18" s="6" t="s">
        <v>13</v>
      </c>
      <c r="B18" s="79" t="s">
        <v>76</v>
      </c>
      <c r="C18" s="118"/>
      <c r="D18" s="126"/>
    </row>
    <row r="19" spans="1:4" ht="14.25" customHeight="1">
      <c r="A19" s="6" t="s">
        <v>14</v>
      </c>
      <c r="B19" s="79" t="s">
        <v>76</v>
      </c>
      <c r="C19" s="118"/>
      <c r="D19" s="126"/>
    </row>
    <row r="20" spans="1:4" ht="13.5" customHeight="1">
      <c r="A20" s="6" t="s">
        <v>15</v>
      </c>
      <c r="B20" s="79" t="s">
        <v>77</v>
      </c>
      <c r="C20" s="118"/>
      <c r="D20" s="126"/>
    </row>
    <row r="21" spans="1:4" ht="12.75" customHeight="1">
      <c r="A21" s="41" t="s">
        <v>94</v>
      </c>
      <c r="B21" s="79"/>
      <c r="C21" s="118"/>
      <c r="D21" s="126"/>
    </row>
    <row r="22" spans="1:4" ht="30" customHeight="1">
      <c r="A22" s="6" t="s">
        <v>16</v>
      </c>
      <c r="B22" s="79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0.19</v>
      </c>
      <c r="D24" s="128">
        <f>C24*B8*8</f>
        <v>5181.5280000000002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C28*B8*8</f>
        <v>16635.432000000001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25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C35*B8*8</f>
        <v>27271.200000000001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25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0.69</v>
      </c>
      <c r="D42" s="118">
        <f>C42*8*B8</f>
        <v>18817.128000000001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3.77</v>
      </c>
      <c r="D46" s="117">
        <f>C46*8*B8</f>
        <v>102812.424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80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81</v>
      </c>
      <c r="C53" s="117"/>
      <c r="D53" s="117"/>
    </row>
    <row r="54" spans="1:4" ht="14.25" customHeight="1">
      <c r="A54" s="9" t="s">
        <v>43</v>
      </c>
      <c r="B54" s="23" t="s">
        <v>81</v>
      </c>
      <c r="C54" s="117"/>
      <c r="D54" s="117"/>
    </row>
    <row r="55" spans="1:4" ht="13.5" customHeight="1">
      <c r="A55" s="9" t="s">
        <v>44</v>
      </c>
      <c r="B55" s="23" t="s">
        <v>81</v>
      </c>
      <c r="C55" s="117"/>
      <c r="D55" s="117"/>
    </row>
    <row r="56" spans="1:4" ht="13.5" customHeight="1">
      <c r="A56" s="9" t="s">
        <v>45</v>
      </c>
      <c r="B56" s="21" t="s">
        <v>246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 ht="22.5" customHeight="1">
      <c r="A58" s="10"/>
      <c r="B58" s="22"/>
      <c r="C58" s="78"/>
      <c r="D58" s="78"/>
    </row>
    <row r="59" spans="1:4">
      <c r="A59" s="128" t="s">
        <v>47</v>
      </c>
      <c r="B59" s="128"/>
      <c r="C59" s="128"/>
      <c r="D59" s="128"/>
    </row>
    <row r="60" spans="1:4" ht="15.75" customHeight="1">
      <c r="A60" s="9" t="s">
        <v>48</v>
      </c>
      <c r="B60" s="22" t="s">
        <v>84</v>
      </c>
      <c r="C60" s="129">
        <v>1.36</v>
      </c>
      <c r="D60" s="125">
        <f>C60*B8*8</f>
        <v>37088.832000000002</v>
      </c>
    </row>
    <row r="61" spans="1:4" ht="12.75" customHeight="1">
      <c r="A61" s="9" t="s">
        <v>49</v>
      </c>
      <c r="B61" s="22" t="s">
        <v>84</v>
      </c>
      <c r="C61" s="119"/>
      <c r="D61" s="126"/>
    </row>
    <row r="62" spans="1:4" ht="26.25" customHeight="1">
      <c r="A62" s="9" t="s">
        <v>50</v>
      </c>
      <c r="B62" s="22" t="s">
        <v>84</v>
      </c>
      <c r="C62" s="119"/>
      <c r="D62" s="126"/>
    </row>
    <row r="63" spans="1:4" ht="16.5" customHeight="1">
      <c r="A63" s="9" t="s">
        <v>51</v>
      </c>
      <c r="B63" s="22" t="s">
        <v>84</v>
      </c>
      <c r="C63" s="119"/>
      <c r="D63" s="126"/>
    </row>
    <row r="64" spans="1:4" ht="39.75" customHeight="1">
      <c r="A64" s="10" t="s">
        <v>52</v>
      </c>
      <c r="B64" s="22" t="s">
        <v>23</v>
      </c>
      <c r="C64" s="119"/>
      <c r="D64" s="126"/>
    </row>
    <row r="65" spans="1:4" ht="16.5" customHeight="1">
      <c r="A65" s="10" t="s">
        <v>53</v>
      </c>
      <c r="B65" s="23" t="s">
        <v>85</v>
      </c>
      <c r="C65" s="120"/>
      <c r="D65" s="127"/>
    </row>
    <row r="66" spans="1:4" ht="16.5" customHeight="1">
      <c r="A66" s="56" t="s">
        <v>124</v>
      </c>
      <c r="B66" s="23" t="s">
        <v>125</v>
      </c>
      <c r="C66" s="97">
        <v>0.51</v>
      </c>
      <c r="D66" s="102">
        <v>13641.4</v>
      </c>
    </row>
    <row r="67" spans="1:4">
      <c r="A67" s="121" t="s">
        <v>86</v>
      </c>
      <c r="B67" s="122"/>
      <c r="C67" s="122"/>
      <c r="D67" s="123"/>
    </row>
    <row r="68" spans="1:4" ht="26.25" customHeight="1">
      <c r="A68" s="139" t="s">
        <v>97</v>
      </c>
      <c r="B68" s="141" t="s">
        <v>87</v>
      </c>
      <c r="C68" s="118">
        <v>2.38</v>
      </c>
      <c r="D68" s="117">
        <f>C68*B8*8</f>
        <v>64905.455999999998</v>
      </c>
    </row>
    <row r="69" spans="1:4" ht="13.5" customHeight="1">
      <c r="A69" s="140"/>
      <c r="B69" s="141"/>
      <c r="C69" s="118"/>
      <c r="D69" s="117"/>
    </row>
    <row r="70" spans="1:4" ht="15" customHeight="1">
      <c r="A70" s="121" t="s">
        <v>56</v>
      </c>
      <c r="B70" s="122"/>
      <c r="C70" s="122"/>
      <c r="D70" s="123"/>
    </row>
    <row r="71" spans="1:4" ht="16.5" customHeight="1">
      <c r="A71" s="6" t="s">
        <v>91</v>
      </c>
      <c r="B71" s="21" t="s">
        <v>88</v>
      </c>
      <c r="C71" s="131">
        <v>2.14</v>
      </c>
      <c r="D71" s="133">
        <v>58486.09</v>
      </c>
    </row>
    <row r="72" spans="1:4">
      <c r="A72" s="6" t="s">
        <v>92</v>
      </c>
      <c r="B72" s="21" t="s">
        <v>88</v>
      </c>
      <c r="C72" s="132"/>
      <c r="D72" s="134"/>
    </row>
    <row r="73" spans="1:4" ht="15" customHeight="1">
      <c r="A73" s="6" t="s">
        <v>93</v>
      </c>
      <c r="B73" s="21" t="s">
        <v>88</v>
      </c>
      <c r="C73" s="130"/>
      <c r="D73" s="135"/>
    </row>
    <row r="74" spans="1:4" ht="38.25" customHeight="1">
      <c r="A74" s="6" t="s">
        <v>165</v>
      </c>
      <c r="B74" s="22" t="s">
        <v>23</v>
      </c>
      <c r="C74" s="76">
        <v>4.3499999999999996</v>
      </c>
      <c r="D74" s="76">
        <v>117143.52</v>
      </c>
    </row>
    <row r="75" spans="1:4" ht="18" customHeight="1">
      <c r="A75" s="6" t="s">
        <v>247</v>
      </c>
      <c r="B75" s="22"/>
      <c r="C75" s="76"/>
      <c r="D75" s="76">
        <v>-4730.46</v>
      </c>
    </row>
    <row r="76" spans="1:4">
      <c r="A76" s="80" t="s">
        <v>57</v>
      </c>
      <c r="B76" s="23"/>
      <c r="C76" s="28">
        <f>C74+C71+C68+C66+C60+C46+C42+C35+C28+C24+C17+C14+C13</f>
        <v>21.619999999999997</v>
      </c>
      <c r="D76" s="57">
        <f>D75+D74+D71+D68+D66+D60+D46+D42+D35+D28+D24+D17+D14+D13</f>
        <v>583245.49400000006</v>
      </c>
    </row>
    <row r="78" spans="1:4">
      <c r="D78" s="42"/>
    </row>
    <row r="79" spans="1:4">
      <c r="D79" s="42"/>
    </row>
    <row r="80" spans="1:4">
      <c r="D80" s="42"/>
    </row>
    <row r="81" spans="4:4">
      <c r="D81" s="42"/>
    </row>
  </sheetData>
  <mergeCells count="31"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  <mergeCell ref="A41:D41"/>
    <mergeCell ref="C42:C44"/>
    <mergeCell ref="D42:D44"/>
    <mergeCell ref="A45:D45"/>
    <mergeCell ref="C46:C57"/>
    <mergeCell ref="D46:D57"/>
    <mergeCell ref="A59:D59"/>
    <mergeCell ref="A67:D67"/>
    <mergeCell ref="A68:A69"/>
    <mergeCell ref="B68:B69"/>
    <mergeCell ref="C68:C69"/>
    <mergeCell ref="D68:D69"/>
    <mergeCell ref="A70:D70"/>
    <mergeCell ref="C71:C73"/>
    <mergeCell ref="D71:D73"/>
    <mergeCell ref="C60:C65"/>
    <mergeCell ref="D60:D6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82"/>
  <sheetViews>
    <sheetView topLeftCell="A56" workbookViewId="0">
      <selection activeCell="A76" sqref="A76:XFD76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239</v>
      </c>
      <c r="B2" s="2"/>
      <c r="C2" s="2"/>
      <c r="D2" s="2"/>
    </row>
    <row r="3" spans="1:4">
      <c r="A3" s="1" t="s">
        <v>238</v>
      </c>
      <c r="B3" s="2"/>
      <c r="C3" s="2"/>
      <c r="D3" s="2"/>
    </row>
    <row r="4" spans="1:4">
      <c r="A4" s="25" t="s">
        <v>59</v>
      </c>
      <c r="B4" s="2">
        <v>1987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60</v>
      </c>
      <c r="C7" s="2"/>
      <c r="D7" s="2"/>
    </row>
    <row r="8" spans="1:4">
      <c r="A8" s="25" t="s">
        <v>73</v>
      </c>
      <c r="B8" s="2">
        <v>3340.7</v>
      </c>
      <c r="C8" s="2"/>
      <c r="D8" s="2"/>
    </row>
    <row r="9" spans="1:4">
      <c r="A9" s="25" t="s">
        <v>63</v>
      </c>
      <c r="B9" s="2">
        <v>296</v>
      </c>
      <c r="C9" s="2"/>
      <c r="D9" s="2"/>
    </row>
    <row r="10" spans="1:4" ht="36.75">
      <c r="A10" s="79" t="s">
        <v>1</v>
      </c>
      <c r="B10" s="79" t="s">
        <v>2</v>
      </c>
      <c r="C10" s="79" t="s">
        <v>3</v>
      </c>
      <c r="D10" s="79" t="s">
        <v>4</v>
      </c>
    </row>
    <row r="11" spans="1:4">
      <c r="A11" s="121" t="s">
        <v>5</v>
      </c>
      <c r="B11" s="122"/>
      <c r="C11" s="122"/>
      <c r="D11" s="123"/>
    </row>
    <row r="12" spans="1:4" ht="88.5" customHeight="1">
      <c r="A12" s="6" t="s">
        <v>6</v>
      </c>
      <c r="B12" s="79" t="s">
        <v>7</v>
      </c>
      <c r="C12" s="77">
        <v>0.14000000000000001</v>
      </c>
      <c r="D12" s="29">
        <f>C12*4*B8</f>
        <v>1870.7920000000001</v>
      </c>
    </row>
    <row r="13" spans="1:4" ht="75.75" customHeight="1">
      <c r="A13" s="6" t="s">
        <v>90</v>
      </c>
      <c r="B13" s="79" t="s">
        <v>9</v>
      </c>
      <c r="C13" s="26">
        <v>2.16</v>
      </c>
      <c r="D13" s="29">
        <f>4*C13*B8</f>
        <v>28863.648000000001</v>
      </c>
    </row>
    <row r="14" spans="1:4">
      <c r="A14" s="6" t="s">
        <v>10</v>
      </c>
      <c r="B14" s="79"/>
      <c r="C14" s="26"/>
      <c r="D14" s="30"/>
    </row>
    <row r="15" spans="1:4">
      <c r="A15" s="6" t="s">
        <v>235</v>
      </c>
      <c r="B15" s="79" t="s">
        <v>108</v>
      </c>
      <c r="C15" s="46">
        <f>28800/4/B8</f>
        <v>2.1552369263926723</v>
      </c>
      <c r="D15" s="30">
        <f>C15*4*B8</f>
        <v>28800</v>
      </c>
    </row>
    <row r="16" spans="1:4">
      <c r="A16" s="6" t="s">
        <v>242</v>
      </c>
      <c r="B16" s="79" t="s">
        <v>108</v>
      </c>
      <c r="C16" s="46">
        <f>3100/4/B8</f>
        <v>0.23198730804921125</v>
      </c>
      <c r="D16" s="30">
        <f>C16*4*B8</f>
        <v>3100</v>
      </c>
    </row>
    <row r="17" spans="1:4">
      <c r="A17" s="82" t="s">
        <v>211</v>
      </c>
      <c r="B17" s="79" t="s">
        <v>112</v>
      </c>
      <c r="C17" s="46">
        <v>0.61</v>
      </c>
      <c r="D17" s="30">
        <f>C15:C17*4*B8</f>
        <v>8151.3079999999991</v>
      </c>
    </row>
    <row r="18" spans="1:4">
      <c r="A18" s="149" t="s">
        <v>11</v>
      </c>
      <c r="B18" s="150"/>
      <c r="C18" s="150"/>
      <c r="D18" s="151"/>
    </row>
    <row r="19" spans="1:4" ht="13.5" customHeight="1">
      <c r="A19" s="41" t="s">
        <v>98</v>
      </c>
      <c r="B19" s="80"/>
      <c r="C19" s="80"/>
      <c r="D19" s="80"/>
    </row>
    <row r="20" spans="1:4" ht="13.5" customHeight="1">
      <c r="A20" s="6" t="s">
        <v>12</v>
      </c>
      <c r="B20" s="79" t="s">
        <v>76</v>
      </c>
      <c r="C20" s="118">
        <v>2.16</v>
      </c>
      <c r="D20" s="125">
        <f>C20*4*B8</f>
        <v>28863.648000000001</v>
      </c>
    </row>
    <row r="21" spans="1:4" ht="12.75" customHeight="1">
      <c r="A21" s="6" t="s">
        <v>13</v>
      </c>
      <c r="B21" s="79" t="s">
        <v>76</v>
      </c>
      <c r="C21" s="118"/>
      <c r="D21" s="126"/>
    </row>
    <row r="22" spans="1:4" ht="14.25" customHeight="1">
      <c r="A22" s="6" t="s">
        <v>14</v>
      </c>
      <c r="B22" s="79" t="s">
        <v>76</v>
      </c>
      <c r="C22" s="118"/>
      <c r="D22" s="126"/>
    </row>
    <row r="23" spans="1:4" ht="13.5" customHeight="1">
      <c r="A23" s="6" t="s">
        <v>15</v>
      </c>
      <c r="B23" s="79" t="s">
        <v>112</v>
      </c>
      <c r="C23" s="118"/>
      <c r="D23" s="126"/>
    </row>
    <row r="24" spans="1:4" ht="12.75" customHeight="1">
      <c r="A24" s="41" t="s">
        <v>94</v>
      </c>
      <c r="B24" s="79"/>
      <c r="C24" s="118"/>
      <c r="D24" s="126"/>
    </row>
    <row r="25" spans="1:4" ht="30" customHeight="1">
      <c r="A25" s="6" t="s">
        <v>16</v>
      </c>
      <c r="B25" s="79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C27*4*B8</f>
        <v>2672.56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0.41</v>
      </c>
      <c r="D31" s="117">
        <f>C31*4*B8</f>
        <v>5478.7479999999996</v>
      </c>
    </row>
    <row r="32" spans="1:4" ht="15" customHeight="1">
      <c r="A32" s="9" t="s">
        <v>24</v>
      </c>
      <c r="B32" s="22" t="s">
        <v>112</v>
      </c>
      <c r="C32" s="118"/>
      <c r="D32" s="126"/>
    </row>
    <row r="33" spans="1:4" ht="13.5" customHeight="1">
      <c r="A33" s="9" t="s">
        <v>26</v>
      </c>
      <c r="B33" s="22" t="s">
        <v>112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112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0.93</v>
      </c>
      <c r="D38" s="118">
        <f>C38*4*B8</f>
        <v>12427.404</v>
      </c>
    </row>
    <row r="39" spans="1:4" ht="14.25" customHeight="1">
      <c r="A39" s="9" t="s">
        <v>68</v>
      </c>
      <c r="B39" s="22" t="s">
        <v>112</v>
      </c>
      <c r="C39" s="117"/>
      <c r="D39" s="119"/>
    </row>
    <row r="40" spans="1:4" ht="14.25" customHeight="1">
      <c r="A40" s="9" t="s">
        <v>69</v>
      </c>
      <c r="B40" s="22" t="s">
        <v>112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112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0.7</v>
      </c>
      <c r="D45" s="118">
        <f>C45*4*B8</f>
        <v>9353.9599999999991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2.57</v>
      </c>
      <c r="D49" s="117">
        <f>C49*4*B8</f>
        <v>34342.395999999993</v>
      </c>
    </row>
    <row r="50" spans="1:4" ht="14.25" customHeight="1">
      <c r="A50" s="9" t="s">
        <v>36</v>
      </c>
      <c r="B50" s="23" t="s">
        <v>108</v>
      </c>
      <c r="C50" s="117"/>
      <c r="D50" s="117"/>
    </row>
    <row r="51" spans="1:4" ht="17.25" customHeight="1">
      <c r="A51" s="9" t="s">
        <v>37</v>
      </c>
      <c r="B51" s="23" t="s">
        <v>108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80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108</v>
      </c>
      <c r="C56" s="117"/>
      <c r="D56" s="117"/>
    </row>
    <row r="57" spans="1:4" ht="14.25" customHeight="1">
      <c r="A57" s="9" t="s">
        <v>43</v>
      </c>
      <c r="B57" s="22" t="s">
        <v>108</v>
      </c>
      <c r="C57" s="117"/>
      <c r="D57" s="117"/>
    </row>
    <row r="58" spans="1:4" ht="13.5" customHeight="1">
      <c r="A58" s="9" t="s">
        <v>44</v>
      </c>
      <c r="B58" s="22" t="s">
        <v>108</v>
      </c>
      <c r="C58" s="117"/>
      <c r="D58" s="117"/>
    </row>
    <row r="59" spans="1:4" ht="13.5" customHeight="1">
      <c r="A59" s="9" t="s">
        <v>45</v>
      </c>
      <c r="B59" s="21" t="s">
        <v>241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>
      <c r="A61" s="128" t="s">
        <v>47</v>
      </c>
      <c r="B61" s="128"/>
      <c r="C61" s="128"/>
      <c r="D61" s="128"/>
    </row>
    <row r="62" spans="1:4" ht="15.75" customHeight="1">
      <c r="A62" s="9" t="s">
        <v>48</v>
      </c>
      <c r="B62" s="22" t="s">
        <v>108</v>
      </c>
      <c r="C62" s="118">
        <v>0.45</v>
      </c>
      <c r="D62" s="117">
        <f>C62*4*B8</f>
        <v>6013.26</v>
      </c>
    </row>
    <row r="63" spans="1:4" ht="12.75" customHeight="1">
      <c r="A63" s="9" t="s">
        <v>49</v>
      </c>
      <c r="B63" s="22" t="s">
        <v>108</v>
      </c>
      <c r="C63" s="118"/>
      <c r="D63" s="117"/>
    </row>
    <row r="64" spans="1:4" ht="34.5" customHeight="1">
      <c r="A64" s="9" t="s">
        <v>50</v>
      </c>
      <c r="B64" s="22" t="s">
        <v>108</v>
      </c>
      <c r="C64" s="118"/>
      <c r="D64" s="117"/>
    </row>
    <row r="65" spans="1:4" ht="16.5" customHeight="1">
      <c r="A65" s="9" t="s">
        <v>51</v>
      </c>
      <c r="B65" s="22" t="s">
        <v>108</v>
      </c>
      <c r="C65" s="118"/>
      <c r="D65" s="117"/>
    </row>
    <row r="66" spans="1:4" ht="39.75" customHeight="1">
      <c r="A66" s="10" t="s">
        <v>52</v>
      </c>
      <c r="B66" s="22" t="s">
        <v>23</v>
      </c>
      <c r="C66" s="118"/>
      <c r="D66" s="117"/>
    </row>
    <row r="67" spans="1:4" ht="16.5" customHeight="1">
      <c r="A67" s="10" t="s">
        <v>53</v>
      </c>
      <c r="B67" s="23" t="s">
        <v>108</v>
      </c>
      <c r="C67" s="118"/>
      <c r="D67" s="117"/>
    </row>
    <row r="68" spans="1:4">
      <c r="A68" s="121" t="s">
        <v>86</v>
      </c>
      <c r="B68" s="122"/>
      <c r="C68" s="122"/>
      <c r="D68" s="123"/>
    </row>
    <row r="69" spans="1:4" ht="26.25" customHeight="1">
      <c r="A69" s="139" t="s">
        <v>97</v>
      </c>
      <c r="B69" s="141" t="s">
        <v>87</v>
      </c>
      <c r="C69" s="118">
        <v>2.41</v>
      </c>
      <c r="D69" s="117">
        <f>C69*4*B8</f>
        <v>32204.348000000002</v>
      </c>
    </row>
    <row r="70" spans="1:4" ht="13.5" customHeight="1">
      <c r="A70" s="140"/>
      <c r="B70" s="141"/>
      <c r="C70" s="118"/>
      <c r="D70" s="117"/>
    </row>
    <row r="71" spans="1:4" ht="15" customHeight="1">
      <c r="A71" s="121" t="s">
        <v>56</v>
      </c>
      <c r="B71" s="122"/>
      <c r="C71" s="122"/>
      <c r="D71" s="123"/>
    </row>
    <row r="72" spans="1:4" ht="16.5" customHeight="1">
      <c r="A72" s="6" t="s">
        <v>91</v>
      </c>
      <c r="B72" s="21" t="s">
        <v>88</v>
      </c>
      <c r="C72" s="131">
        <v>2.14</v>
      </c>
      <c r="D72" s="133">
        <v>28596.32</v>
      </c>
    </row>
    <row r="73" spans="1:4">
      <c r="A73" s="6" t="s">
        <v>92</v>
      </c>
      <c r="B73" s="21" t="s">
        <v>88</v>
      </c>
      <c r="C73" s="132"/>
      <c r="D73" s="134"/>
    </row>
    <row r="74" spans="1:4" ht="15" customHeight="1">
      <c r="A74" s="6" t="s">
        <v>93</v>
      </c>
      <c r="B74" s="21" t="s">
        <v>88</v>
      </c>
      <c r="C74" s="130"/>
      <c r="D74" s="135"/>
    </row>
    <row r="75" spans="1:4" ht="38.25" customHeight="1">
      <c r="A75" s="6" t="s">
        <v>165</v>
      </c>
      <c r="B75" s="22" t="s">
        <v>23</v>
      </c>
      <c r="C75" s="76">
        <v>4.3499999999999996</v>
      </c>
      <c r="D75" s="76">
        <v>57020.4</v>
      </c>
    </row>
    <row r="76" spans="1:4" ht="18" customHeight="1">
      <c r="A76" s="6" t="s">
        <v>240</v>
      </c>
      <c r="B76" s="22"/>
      <c r="C76" s="76"/>
      <c r="D76" s="76">
        <v>-3817.99</v>
      </c>
    </row>
    <row r="77" spans="1:4">
      <c r="A77" s="80" t="s">
        <v>57</v>
      </c>
      <c r="B77" s="23"/>
      <c r="C77" s="28">
        <f>C75+C72+C69+C62+C49+C45+C38+C31+C27+C20+C17+C16+C15+C13+C12</f>
        <v>21.617224234441885</v>
      </c>
      <c r="D77" s="57">
        <f>D75+D72+D69+D62+D49+D45+D38+D31+D27+D20+D17+D16+D15+D13+D12+D76</f>
        <v>283940.80200000003</v>
      </c>
    </row>
    <row r="79" spans="1:4">
      <c r="D79" s="42"/>
    </row>
    <row r="80" spans="1:4">
      <c r="D80" s="42"/>
    </row>
    <row r="81" spans="4:4">
      <c r="D81" s="42"/>
    </row>
    <row r="82" spans="4:4">
      <c r="D82" s="42"/>
    </row>
  </sheetData>
  <mergeCells count="31">
    <mergeCell ref="C38:C43"/>
    <mergeCell ref="D38:D43"/>
    <mergeCell ref="A11:D11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  <mergeCell ref="A44:D44"/>
    <mergeCell ref="C45:C47"/>
    <mergeCell ref="D45:D47"/>
    <mergeCell ref="A48:D48"/>
    <mergeCell ref="C49:C60"/>
    <mergeCell ref="D49:D60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82"/>
  <sheetViews>
    <sheetView topLeftCell="A58" workbookViewId="0">
      <selection activeCell="A80" sqref="A80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233</v>
      </c>
      <c r="B2" s="2"/>
      <c r="C2" s="2"/>
      <c r="D2" s="2"/>
    </row>
    <row r="3" spans="1:4">
      <c r="A3" s="1" t="s">
        <v>232</v>
      </c>
      <c r="B3" s="2"/>
      <c r="C3" s="2"/>
      <c r="D3" s="2"/>
    </row>
    <row r="4" spans="1:4">
      <c r="A4" s="25" t="s">
        <v>59</v>
      </c>
      <c r="B4" s="2">
        <v>1997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58</v>
      </c>
      <c r="C7" s="2"/>
      <c r="D7" s="2"/>
    </row>
    <row r="8" spans="1:4">
      <c r="A8" s="25" t="s">
        <v>73</v>
      </c>
      <c r="B8" s="2">
        <v>2839.3</v>
      </c>
      <c r="C8" s="2"/>
      <c r="D8" s="2"/>
    </row>
    <row r="9" spans="1:4">
      <c r="A9" s="25" t="s">
        <v>63</v>
      </c>
      <c r="B9" s="2">
        <v>241.1</v>
      </c>
      <c r="C9" s="2"/>
      <c r="D9" s="2"/>
    </row>
    <row r="10" spans="1:4">
      <c r="A10" s="25" t="s">
        <v>74</v>
      </c>
      <c r="B10" s="48">
        <v>581.79999999999995</v>
      </c>
      <c r="C10" s="2"/>
      <c r="D10" s="2"/>
    </row>
    <row r="11" spans="1:4" ht="36.75">
      <c r="A11" s="79" t="s">
        <v>1</v>
      </c>
      <c r="B11" s="79" t="s">
        <v>2</v>
      </c>
      <c r="C11" s="79" t="s">
        <v>3</v>
      </c>
      <c r="D11" s="79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9" t="s">
        <v>7</v>
      </c>
      <c r="C13" s="77">
        <v>0.14000000000000001</v>
      </c>
      <c r="D13" s="29">
        <f>C13*7*B8</f>
        <v>2782.5140000000006</v>
      </c>
    </row>
    <row r="14" spans="1:4" ht="75.75" customHeight="1">
      <c r="A14" s="6" t="s">
        <v>90</v>
      </c>
      <c r="B14" s="79" t="s">
        <v>9</v>
      </c>
      <c r="C14" s="26">
        <v>2.16</v>
      </c>
      <c r="D14" s="29">
        <f>7*C14*B8</f>
        <v>42930.216000000008</v>
      </c>
    </row>
    <row r="15" spans="1:4">
      <c r="A15" s="6" t="s">
        <v>10</v>
      </c>
      <c r="B15" s="79"/>
      <c r="C15" s="26"/>
      <c r="D15" s="30"/>
    </row>
    <row r="16" spans="1:4">
      <c r="A16" s="6" t="s">
        <v>235</v>
      </c>
      <c r="B16" s="79" t="s">
        <v>126</v>
      </c>
      <c r="C16" s="46">
        <v>1.45</v>
      </c>
      <c r="D16" s="30">
        <f>C16*7*B8</f>
        <v>28818.895000000004</v>
      </c>
    </row>
    <row r="17" spans="1:4">
      <c r="A17" s="6" t="s">
        <v>236</v>
      </c>
      <c r="B17" s="79" t="s">
        <v>89</v>
      </c>
      <c r="C17" s="46">
        <v>1.55</v>
      </c>
      <c r="D17" s="30">
        <f>C17*7*B8</f>
        <v>30806.405000000002</v>
      </c>
    </row>
    <row r="18" spans="1:4">
      <c r="A18" s="149" t="s">
        <v>11</v>
      </c>
      <c r="B18" s="150"/>
      <c r="C18" s="150"/>
      <c r="D18" s="151"/>
    </row>
    <row r="19" spans="1:4" ht="13.5" customHeight="1">
      <c r="A19" s="41" t="s">
        <v>98</v>
      </c>
      <c r="B19" s="80"/>
      <c r="C19" s="80"/>
      <c r="D19" s="80"/>
    </row>
    <row r="20" spans="1:4" ht="13.5" customHeight="1">
      <c r="A20" s="6" t="s">
        <v>12</v>
      </c>
      <c r="B20" s="79" t="s">
        <v>76</v>
      </c>
      <c r="C20" s="118">
        <v>2.16</v>
      </c>
      <c r="D20" s="125">
        <f>C20*7*B8</f>
        <v>42930.216000000008</v>
      </c>
    </row>
    <row r="21" spans="1:4" ht="12.75" customHeight="1">
      <c r="A21" s="6" t="s">
        <v>13</v>
      </c>
      <c r="B21" s="79" t="s">
        <v>76</v>
      </c>
      <c r="C21" s="118"/>
      <c r="D21" s="126"/>
    </row>
    <row r="22" spans="1:4" ht="14.25" customHeight="1">
      <c r="A22" s="6" t="s">
        <v>14</v>
      </c>
      <c r="B22" s="79" t="s">
        <v>76</v>
      </c>
      <c r="C22" s="118"/>
      <c r="D22" s="126"/>
    </row>
    <row r="23" spans="1:4" ht="13.5" customHeight="1">
      <c r="A23" s="6" t="s">
        <v>15</v>
      </c>
      <c r="B23" s="79" t="s">
        <v>77</v>
      </c>
      <c r="C23" s="118"/>
      <c r="D23" s="126"/>
    </row>
    <row r="24" spans="1:4" ht="12.75" customHeight="1">
      <c r="A24" s="41" t="s">
        <v>94</v>
      </c>
      <c r="B24" s="79"/>
      <c r="C24" s="118"/>
      <c r="D24" s="126"/>
    </row>
    <row r="25" spans="1:4" ht="30" customHeight="1">
      <c r="A25" s="6" t="s">
        <v>16</v>
      </c>
      <c r="B25" s="79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C27*7*B8</f>
        <v>3975.0200000000004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0.41</v>
      </c>
      <c r="D31" s="117">
        <f>C31*7*B8</f>
        <v>8148.7909999999993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0.93</v>
      </c>
      <c r="D38" s="118">
        <f>C38*7*B8</f>
        <v>18483.843000000004</v>
      </c>
    </row>
    <row r="39" spans="1:4" ht="14.25" customHeight="1">
      <c r="A39" s="9" t="s">
        <v>68</v>
      </c>
      <c r="B39" s="22" t="s">
        <v>81</v>
      </c>
      <c r="C39" s="117"/>
      <c r="D39" s="119"/>
    </row>
    <row r="40" spans="1:4" ht="14.25" customHeight="1">
      <c r="A40" s="9" t="s">
        <v>69</v>
      </c>
      <c r="B40" s="22" t="s">
        <v>81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208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0.7</v>
      </c>
      <c r="D45" s="118">
        <f>C45*7*B8</f>
        <v>13912.57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2.57</v>
      </c>
      <c r="D49" s="117">
        <f>C49*7*B8</f>
        <v>51079.006999999998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80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81</v>
      </c>
      <c r="C56" s="117"/>
      <c r="D56" s="117"/>
    </row>
    <row r="57" spans="1:4" ht="14.25" customHeight="1">
      <c r="A57" s="9" t="s">
        <v>43</v>
      </c>
      <c r="B57" s="23" t="s">
        <v>81</v>
      </c>
      <c r="C57" s="117"/>
      <c r="D57" s="117"/>
    </row>
    <row r="58" spans="1:4" ht="13.5" customHeight="1">
      <c r="A58" s="9" t="s">
        <v>44</v>
      </c>
      <c r="B58" s="23" t="s">
        <v>81</v>
      </c>
      <c r="C58" s="117"/>
      <c r="D58" s="117"/>
    </row>
    <row r="59" spans="1:4" ht="13.5" customHeight="1">
      <c r="A59" s="9" t="s">
        <v>45</v>
      </c>
      <c r="B59" s="21" t="s">
        <v>234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>
      <c r="A61" s="128" t="s">
        <v>47</v>
      </c>
      <c r="B61" s="128"/>
      <c r="C61" s="128"/>
      <c r="D61" s="128"/>
    </row>
    <row r="62" spans="1:4" ht="15.75" customHeight="1">
      <c r="A62" s="9" t="s">
        <v>48</v>
      </c>
      <c r="B62" s="22" t="s">
        <v>84</v>
      </c>
      <c r="C62" s="118">
        <v>0.45</v>
      </c>
      <c r="D62" s="117">
        <f>C62*7*B8</f>
        <v>8943.7950000000001</v>
      </c>
    </row>
    <row r="63" spans="1:4" ht="24" customHeight="1">
      <c r="A63" s="9" t="s">
        <v>49</v>
      </c>
      <c r="B63" s="22" t="s">
        <v>84</v>
      </c>
      <c r="C63" s="118"/>
      <c r="D63" s="117"/>
    </row>
    <row r="64" spans="1:4" ht="25.5" customHeight="1">
      <c r="A64" s="9" t="s">
        <v>50</v>
      </c>
      <c r="B64" s="22" t="s">
        <v>84</v>
      </c>
      <c r="C64" s="118"/>
      <c r="D64" s="117"/>
    </row>
    <row r="65" spans="1:4" ht="16.5" customHeight="1">
      <c r="A65" s="9" t="s">
        <v>51</v>
      </c>
      <c r="B65" s="22" t="s">
        <v>84</v>
      </c>
      <c r="C65" s="118"/>
      <c r="D65" s="117"/>
    </row>
    <row r="66" spans="1:4" ht="39.75" customHeight="1">
      <c r="A66" s="10" t="s">
        <v>52</v>
      </c>
      <c r="B66" s="22" t="s">
        <v>23</v>
      </c>
      <c r="C66" s="118"/>
      <c r="D66" s="117"/>
    </row>
    <row r="67" spans="1:4" ht="16.5" customHeight="1">
      <c r="A67" s="10" t="s">
        <v>53</v>
      </c>
      <c r="B67" s="23" t="s">
        <v>85</v>
      </c>
      <c r="C67" s="118"/>
      <c r="D67" s="117"/>
    </row>
    <row r="68" spans="1:4">
      <c r="A68" s="121" t="s">
        <v>86</v>
      </c>
      <c r="B68" s="122"/>
      <c r="C68" s="122"/>
      <c r="D68" s="123"/>
    </row>
    <row r="69" spans="1:4" ht="26.25" customHeight="1">
      <c r="A69" s="139" t="s">
        <v>97</v>
      </c>
      <c r="B69" s="141" t="s">
        <v>87</v>
      </c>
      <c r="C69" s="118">
        <v>2.41</v>
      </c>
      <c r="D69" s="117">
        <f>C69*7*B8</f>
        <v>47898.991000000009</v>
      </c>
    </row>
    <row r="70" spans="1:4" ht="13.5" customHeight="1">
      <c r="A70" s="140"/>
      <c r="B70" s="141"/>
      <c r="C70" s="118"/>
      <c r="D70" s="117"/>
    </row>
    <row r="71" spans="1:4" ht="15" customHeight="1">
      <c r="A71" s="121" t="s">
        <v>56</v>
      </c>
      <c r="B71" s="122"/>
      <c r="C71" s="122"/>
      <c r="D71" s="123"/>
    </row>
    <row r="72" spans="1:4" ht="16.5" customHeight="1">
      <c r="A72" s="6" t="s">
        <v>91</v>
      </c>
      <c r="B72" s="21" t="s">
        <v>88</v>
      </c>
      <c r="C72" s="131">
        <v>2.14</v>
      </c>
      <c r="D72" s="133">
        <v>42066.06</v>
      </c>
    </row>
    <row r="73" spans="1:4">
      <c r="A73" s="6" t="s">
        <v>92</v>
      </c>
      <c r="B73" s="21" t="s">
        <v>88</v>
      </c>
      <c r="C73" s="132"/>
      <c r="D73" s="134"/>
    </row>
    <row r="74" spans="1:4" ht="15" customHeight="1">
      <c r="A74" s="6" t="s">
        <v>93</v>
      </c>
      <c r="B74" s="21" t="s">
        <v>88</v>
      </c>
      <c r="C74" s="130"/>
      <c r="D74" s="135"/>
    </row>
    <row r="75" spans="1:4" ht="38.25" customHeight="1">
      <c r="A75" s="6" t="s">
        <v>165</v>
      </c>
      <c r="B75" s="22" t="s">
        <v>23</v>
      </c>
      <c r="C75" s="76">
        <v>4.3499999999999996</v>
      </c>
      <c r="D75" s="76">
        <v>83697.16</v>
      </c>
    </row>
    <row r="76" spans="1:4" ht="18" customHeight="1">
      <c r="A76" s="6" t="s">
        <v>237</v>
      </c>
      <c r="B76" s="22"/>
      <c r="C76" s="76"/>
      <c r="D76" s="76">
        <v>-9601.11</v>
      </c>
    </row>
    <row r="77" spans="1:4">
      <c r="A77" s="80" t="s">
        <v>57</v>
      </c>
      <c r="B77" s="23"/>
      <c r="C77" s="28">
        <f>C75+C72+C69+C62+C49+C45+C38+C31+C27+C20+C17+C16+C14+C13</f>
        <v>21.62</v>
      </c>
      <c r="D77" s="57">
        <f>D75+D72+D69+D62+D49+D45+D38+D31+D27+D20+D17+D16+D14+D13+D76</f>
        <v>416872.3730000002</v>
      </c>
    </row>
    <row r="79" spans="1:4">
      <c r="D79" s="42"/>
    </row>
    <row r="80" spans="1:4">
      <c r="D80" s="42"/>
    </row>
    <row r="81" spans="4:4">
      <c r="D81" s="42"/>
    </row>
    <row r="82" spans="4:4">
      <c r="D82" s="42"/>
    </row>
  </sheetData>
  <mergeCells count="31">
    <mergeCell ref="C38:C43"/>
    <mergeCell ref="D38:D4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  <mergeCell ref="A44:D44"/>
    <mergeCell ref="C45:C47"/>
    <mergeCell ref="D45:D47"/>
    <mergeCell ref="A48:D48"/>
    <mergeCell ref="C49:C60"/>
    <mergeCell ref="D49:D60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80"/>
  <sheetViews>
    <sheetView topLeftCell="A55" workbookViewId="0">
      <selection activeCell="A78" sqref="A7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229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2">
        <v>1994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55</v>
      </c>
      <c r="C7" s="2"/>
      <c r="D7" s="2"/>
    </row>
    <row r="8" spans="1:4">
      <c r="A8" s="25" t="s">
        <v>73</v>
      </c>
      <c r="B8" s="2">
        <v>2898.5</v>
      </c>
      <c r="C8" s="2"/>
      <c r="D8" s="2"/>
    </row>
    <row r="9" spans="1:4">
      <c r="A9" s="25" t="s">
        <v>63</v>
      </c>
      <c r="B9" s="2">
        <v>244.6</v>
      </c>
      <c r="C9" s="2"/>
      <c r="D9" s="2"/>
    </row>
    <row r="10" spans="1:4">
      <c r="A10" s="25" t="s">
        <v>74</v>
      </c>
      <c r="B10" s="48">
        <v>666.5</v>
      </c>
      <c r="C10" s="2"/>
      <c r="D10" s="2"/>
    </row>
    <row r="11" spans="1:4" ht="36.75">
      <c r="A11" s="79" t="s">
        <v>1</v>
      </c>
      <c r="B11" s="79" t="s">
        <v>2</v>
      </c>
      <c r="C11" s="79" t="s">
        <v>3</v>
      </c>
      <c r="D11" s="79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9" t="s">
        <v>7</v>
      </c>
      <c r="C13" s="77">
        <v>0.14000000000000001</v>
      </c>
      <c r="D13" s="29">
        <f>C13*8*B8</f>
        <v>3246.32</v>
      </c>
    </row>
    <row r="14" spans="1:4" ht="75.75" customHeight="1">
      <c r="A14" s="6" t="s">
        <v>90</v>
      </c>
      <c r="B14" s="79" t="s">
        <v>9</v>
      </c>
      <c r="C14" s="26">
        <v>1.34</v>
      </c>
      <c r="D14" s="29">
        <f>C14*8*B8</f>
        <v>31071.920000000002</v>
      </c>
    </row>
    <row r="15" spans="1:4">
      <c r="A15" s="6" t="s">
        <v>10</v>
      </c>
      <c r="B15" s="79"/>
      <c r="C15" s="26"/>
      <c r="D15" s="30"/>
    </row>
    <row r="16" spans="1:4">
      <c r="A16" s="6" t="s">
        <v>230</v>
      </c>
      <c r="B16" s="79" t="s">
        <v>108</v>
      </c>
      <c r="C16" s="46">
        <f>5682/8/B8</f>
        <v>0.24504053820941865</v>
      </c>
      <c r="D16" s="30">
        <f>C16*8*B8</f>
        <v>5682</v>
      </c>
    </row>
    <row r="17" spans="1:4">
      <c r="A17" s="149" t="s">
        <v>11</v>
      </c>
      <c r="B17" s="150"/>
      <c r="C17" s="150"/>
      <c r="D17" s="151"/>
    </row>
    <row r="18" spans="1:4" ht="13.5" customHeight="1">
      <c r="A18" s="41" t="s">
        <v>98</v>
      </c>
      <c r="B18" s="80"/>
      <c r="C18" s="80"/>
      <c r="D18" s="80"/>
    </row>
    <row r="19" spans="1:4" ht="13.5" customHeight="1">
      <c r="A19" s="6" t="s">
        <v>12</v>
      </c>
      <c r="B19" s="79" t="s">
        <v>76</v>
      </c>
      <c r="C19" s="118">
        <v>2.16</v>
      </c>
      <c r="D19" s="125">
        <f>C19*8*B8</f>
        <v>50086.080000000002</v>
      </c>
    </row>
    <row r="20" spans="1:4" ht="12.75" customHeight="1">
      <c r="A20" s="6" t="s">
        <v>13</v>
      </c>
      <c r="B20" s="79" t="s">
        <v>76</v>
      </c>
      <c r="C20" s="118"/>
      <c r="D20" s="126"/>
    </row>
    <row r="21" spans="1:4" ht="14.25" customHeight="1">
      <c r="A21" s="6" t="s">
        <v>14</v>
      </c>
      <c r="B21" s="79" t="s">
        <v>76</v>
      </c>
      <c r="C21" s="118"/>
      <c r="D21" s="126"/>
    </row>
    <row r="22" spans="1:4" ht="13.5" customHeight="1">
      <c r="A22" s="6" t="s">
        <v>15</v>
      </c>
      <c r="B22" s="79" t="s">
        <v>77</v>
      </c>
      <c r="C22" s="118"/>
      <c r="D22" s="126"/>
    </row>
    <row r="23" spans="1:4" ht="12.75" customHeight="1">
      <c r="A23" s="41" t="s">
        <v>94</v>
      </c>
      <c r="B23" s="79"/>
      <c r="C23" s="118"/>
      <c r="D23" s="126"/>
    </row>
    <row r="24" spans="1:4" ht="30" customHeight="1">
      <c r="A24" s="6" t="s">
        <v>16</v>
      </c>
      <c r="B24" s="79" t="s">
        <v>95</v>
      </c>
      <c r="C24" s="118"/>
      <c r="D24" s="127"/>
    </row>
    <row r="25" spans="1:4" ht="12.75" customHeight="1">
      <c r="A25" s="121" t="s">
        <v>17</v>
      </c>
      <c r="B25" s="122"/>
      <c r="C25" s="122"/>
      <c r="D25" s="123"/>
    </row>
    <row r="26" spans="1:4" ht="12" customHeight="1">
      <c r="A26" s="7" t="s">
        <v>18</v>
      </c>
      <c r="B26" s="21" t="s">
        <v>79</v>
      </c>
      <c r="C26" s="118">
        <v>0.2</v>
      </c>
      <c r="D26" s="128">
        <f>C26*8*B8</f>
        <v>4637.6000000000004</v>
      </c>
    </row>
    <row r="27" spans="1:4" ht="12" customHeight="1">
      <c r="A27" s="7" t="s">
        <v>19</v>
      </c>
      <c r="B27" s="21" t="s">
        <v>78</v>
      </c>
      <c r="C27" s="118"/>
      <c r="D27" s="128"/>
    </row>
    <row r="28" spans="1:4" ht="13.5" customHeight="1">
      <c r="A28" s="121" t="s">
        <v>20</v>
      </c>
      <c r="B28" s="122"/>
      <c r="C28" s="122"/>
      <c r="D28" s="123"/>
    </row>
    <row r="29" spans="1:4">
      <c r="A29" s="128" t="s">
        <v>21</v>
      </c>
      <c r="B29" s="128"/>
      <c r="C29" s="128"/>
      <c r="D29" s="128"/>
    </row>
    <row r="30" spans="1:4" ht="37.5" customHeight="1">
      <c r="A30" s="8" t="s">
        <v>22</v>
      </c>
      <c r="B30" s="22" t="s">
        <v>80</v>
      </c>
      <c r="C30" s="118">
        <v>0.61</v>
      </c>
      <c r="D30" s="117">
        <f>C30*8*B8</f>
        <v>14144.68</v>
      </c>
    </row>
    <row r="31" spans="1:4" ht="15" customHeight="1">
      <c r="A31" s="9" t="s">
        <v>24</v>
      </c>
      <c r="B31" s="23" t="s">
        <v>81</v>
      </c>
      <c r="C31" s="118"/>
      <c r="D31" s="126"/>
    </row>
    <row r="32" spans="1:4" ht="13.5" customHeight="1">
      <c r="A32" s="9" t="s">
        <v>26</v>
      </c>
      <c r="B32" s="23" t="s">
        <v>81</v>
      </c>
      <c r="C32" s="118"/>
      <c r="D32" s="126"/>
    </row>
    <row r="33" spans="1:4" ht="36" customHeight="1">
      <c r="A33" s="9" t="s">
        <v>27</v>
      </c>
      <c r="B33" s="22" t="s">
        <v>23</v>
      </c>
      <c r="C33" s="118"/>
      <c r="D33" s="126"/>
    </row>
    <row r="34" spans="1:4" ht="14.25" customHeight="1">
      <c r="A34" s="9" t="s">
        <v>28</v>
      </c>
      <c r="B34" s="22" t="s">
        <v>25</v>
      </c>
      <c r="C34" s="118"/>
      <c r="D34" s="126"/>
    </row>
    <row r="35" spans="1:4" ht="33.75" customHeight="1">
      <c r="A35" s="24" t="s">
        <v>29</v>
      </c>
      <c r="B35" s="22" t="s">
        <v>23</v>
      </c>
      <c r="C35" s="129"/>
      <c r="D35" s="127"/>
    </row>
    <row r="36" spans="1:4" ht="15.75" customHeight="1">
      <c r="A36" s="128" t="s">
        <v>66</v>
      </c>
      <c r="B36" s="128"/>
      <c r="C36" s="128"/>
      <c r="D36" s="128"/>
    </row>
    <row r="37" spans="1:4" ht="36.75" customHeight="1">
      <c r="A37" s="9" t="s">
        <v>67</v>
      </c>
      <c r="B37" s="22" t="s">
        <v>80</v>
      </c>
      <c r="C37" s="117">
        <v>1.18</v>
      </c>
      <c r="D37" s="118">
        <f>C37*8*B8</f>
        <v>27361.84</v>
      </c>
    </row>
    <row r="38" spans="1:4" ht="14.25" customHeight="1">
      <c r="A38" s="9" t="s">
        <v>68</v>
      </c>
      <c r="B38" s="22" t="s">
        <v>81</v>
      </c>
      <c r="C38" s="117"/>
      <c r="D38" s="119"/>
    </row>
    <row r="39" spans="1:4" ht="14.25" customHeight="1">
      <c r="A39" s="9" t="s">
        <v>69</v>
      </c>
      <c r="B39" s="22" t="s">
        <v>81</v>
      </c>
      <c r="C39" s="117"/>
      <c r="D39" s="119"/>
    </row>
    <row r="40" spans="1:4" ht="24" customHeight="1">
      <c r="A40" s="9" t="s">
        <v>70</v>
      </c>
      <c r="B40" s="22" t="s">
        <v>80</v>
      </c>
      <c r="C40" s="117"/>
      <c r="D40" s="119"/>
    </row>
    <row r="41" spans="1:4" ht="25.5" customHeight="1">
      <c r="A41" s="10" t="s">
        <v>71</v>
      </c>
      <c r="B41" s="22" t="s">
        <v>80</v>
      </c>
      <c r="C41" s="117"/>
      <c r="D41" s="119"/>
    </row>
    <row r="42" spans="1:4" ht="14.25" customHeight="1">
      <c r="A42" s="9" t="s">
        <v>72</v>
      </c>
      <c r="B42" s="22" t="s">
        <v>208</v>
      </c>
      <c r="C42" s="117"/>
      <c r="D42" s="120"/>
    </row>
    <row r="43" spans="1:4" ht="11.25" customHeight="1">
      <c r="A43" s="130" t="s">
        <v>30</v>
      </c>
      <c r="B43" s="130"/>
      <c r="C43" s="130"/>
      <c r="D43" s="130"/>
    </row>
    <row r="44" spans="1:4" ht="35.25" customHeight="1">
      <c r="A44" s="9" t="s">
        <v>31</v>
      </c>
      <c r="B44" s="22" t="s">
        <v>23</v>
      </c>
      <c r="C44" s="117">
        <v>1.7</v>
      </c>
      <c r="D44" s="118">
        <f>C44*8*B8</f>
        <v>39419.599999999999</v>
      </c>
    </row>
    <row r="45" spans="1:4" ht="38.25" customHeight="1">
      <c r="A45" s="9" t="s">
        <v>32</v>
      </c>
      <c r="B45" s="22" t="s">
        <v>23</v>
      </c>
      <c r="C45" s="117"/>
      <c r="D45" s="118"/>
    </row>
    <row r="46" spans="1:4" ht="15" customHeight="1">
      <c r="A46" s="10" t="s">
        <v>33</v>
      </c>
      <c r="B46" s="22" t="s">
        <v>23</v>
      </c>
      <c r="C46" s="117"/>
      <c r="D46" s="118"/>
    </row>
    <row r="47" spans="1:4" ht="12.75" customHeight="1">
      <c r="A47" s="128" t="s">
        <v>34</v>
      </c>
      <c r="B47" s="128"/>
      <c r="C47" s="128"/>
      <c r="D47" s="128"/>
    </row>
    <row r="48" spans="1:4" ht="29.25" customHeight="1">
      <c r="A48" s="9" t="s">
        <v>35</v>
      </c>
      <c r="B48" s="22" t="s">
        <v>78</v>
      </c>
      <c r="C48" s="117">
        <v>3.77</v>
      </c>
      <c r="D48" s="117">
        <f>C48*8*B8+72.85</f>
        <v>87491.61</v>
      </c>
    </row>
    <row r="49" spans="1:4" ht="14.25" customHeight="1">
      <c r="A49" s="9" t="s">
        <v>36</v>
      </c>
      <c r="B49" s="22" t="s">
        <v>82</v>
      </c>
      <c r="C49" s="117"/>
      <c r="D49" s="117"/>
    </row>
    <row r="50" spans="1:4" ht="17.25" customHeight="1">
      <c r="A50" s="9" t="s">
        <v>37</v>
      </c>
      <c r="B50" s="22" t="s">
        <v>82</v>
      </c>
      <c r="C50" s="117"/>
      <c r="D50" s="117"/>
    </row>
    <row r="51" spans="1:4" ht="24.75" customHeight="1">
      <c r="A51" s="9" t="s">
        <v>38</v>
      </c>
      <c r="B51" s="22" t="s">
        <v>83</v>
      </c>
      <c r="C51" s="117"/>
      <c r="D51" s="117"/>
    </row>
    <row r="52" spans="1:4" ht="30" customHeight="1">
      <c r="A52" s="9" t="s">
        <v>39</v>
      </c>
      <c r="B52" s="22" t="s">
        <v>83</v>
      </c>
      <c r="C52" s="117"/>
      <c r="D52" s="117"/>
    </row>
    <row r="53" spans="1:4" ht="12.75" customHeight="1">
      <c r="A53" s="80" t="s">
        <v>96</v>
      </c>
      <c r="B53" s="6"/>
      <c r="C53" s="117"/>
      <c r="D53" s="117"/>
    </row>
    <row r="54" spans="1:4" ht="35.25" customHeight="1">
      <c r="A54" s="9" t="s">
        <v>41</v>
      </c>
      <c r="B54" s="22" t="s">
        <v>80</v>
      </c>
      <c r="C54" s="117"/>
      <c r="D54" s="117"/>
    </row>
    <row r="55" spans="1:4" ht="14.25" customHeight="1">
      <c r="A55" s="9" t="s">
        <v>42</v>
      </c>
      <c r="B55" s="22" t="s">
        <v>81</v>
      </c>
      <c r="C55" s="117"/>
      <c r="D55" s="117"/>
    </row>
    <row r="56" spans="1:4" ht="14.25" customHeight="1">
      <c r="A56" s="9" t="s">
        <v>43</v>
      </c>
      <c r="B56" s="23" t="s">
        <v>81</v>
      </c>
      <c r="C56" s="117"/>
      <c r="D56" s="117"/>
    </row>
    <row r="57" spans="1:4" ht="13.5" customHeight="1">
      <c r="A57" s="9" t="s">
        <v>44</v>
      </c>
      <c r="B57" s="23" t="s">
        <v>81</v>
      </c>
      <c r="C57" s="117"/>
      <c r="D57" s="117"/>
    </row>
    <row r="58" spans="1:4" ht="13.5" customHeight="1">
      <c r="A58" s="9" t="s">
        <v>45</v>
      </c>
      <c r="B58" s="21" t="s">
        <v>231</v>
      </c>
      <c r="C58" s="117"/>
      <c r="D58" s="117"/>
    </row>
    <row r="59" spans="1:4" ht="36.75" customHeight="1">
      <c r="A59" s="10" t="s">
        <v>46</v>
      </c>
      <c r="B59" s="22" t="s">
        <v>23</v>
      </c>
      <c r="C59" s="117"/>
      <c r="D59" s="117"/>
    </row>
    <row r="60" spans="1:4">
      <c r="A60" s="128" t="s">
        <v>47</v>
      </c>
      <c r="B60" s="128"/>
      <c r="C60" s="128"/>
      <c r="D60" s="128"/>
    </row>
    <row r="61" spans="1:4" ht="15.75" customHeight="1">
      <c r="A61" s="9" t="s">
        <v>48</v>
      </c>
      <c r="B61" s="22" t="s">
        <v>84</v>
      </c>
      <c r="C61" s="118">
        <v>1.37</v>
      </c>
      <c r="D61" s="117">
        <f>C61*8*B8</f>
        <v>31767.56</v>
      </c>
    </row>
    <row r="62" spans="1:4" ht="12.75" customHeight="1">
      <c r="A62" s="9" t="s">
        <v>49</v>
      </c>
      <c r="B62" s="22" t="s">
        <v>84</v>
      </c>
      <c r="C62" s="118"/>
      <c r="D62" s="117"/>
    </row>
    <row r="63" spans="1:4" ht="22.5" customHeight="1">
      <c r="A63" s="9" t="s">
        <v>50</v>
      </c>
      <c r="B63" s="22" t="s">
        <v>84</v>
      </c>
      <c r="C63" s="118"/>
      <c r="D63" s="117"/>
    </row>
    <row r="64" spans="1:4" ht="16.5" customHeight="1">
      <c r="A64" s="9" t="s">
        <v>51</v>
      </c>
      <c r="B64" s="22" t="s">
        <v>84</v>
      </c>
      <c r="C64" s="118"/>
      <c r="D64" s="117"/>
    </row>
    <row r="65" spans="1:4" ht="39.75" customHeight="1">
      <c r="A65" s="10" t="s">
        <v>52</v>
      </c>
      <c r="B65" s="22" t="s">
        <v>23</v>
      </c>
      <c r="C65" s="118"/>
      <c r="D65" s="117"/>
    </row>
    <row r="66" spans="1:4" ht="16.5" customHeight="1">
      <c r="A66" s="10" t="s">
        <v>53</v>
      </c>
      <c r="B66" s="23" t="s">
        <v>85</v>
      </c>
      <c r="C66" s="118"/>
      <c r="D66" s="117"/>
    </row>
    <row r="67" spans="1:4">
      <c r="A67" s="121" t="s">
        <v>86</v>
      </c>
      <c r="B67" s="122"/>
      <c r="C67" s="122"/>
      <c r="D67" s="123"/>
    </row>
    <row r="68" spans="1:4" ht="26.25" customHeight="1">
      <c r="A68" s="139" t="s">
        <v>97</v>
      </c>
      <c r="B68" s="141" t="s">
        <v>87</v>
      </c>
      <c r="C68" s="118">
        <v>2.41</v>
      </c>
      <c r="D68" s="117">
        <f>C68*8*B8</f>
        <v>55883.08</v>
      </c>
    </row>
    <row r="69" spans="1:4" ht="13.5" customHeight="1">
      <c r="A69" s="140"/>
      <c r="B69" s="141"/>
      <c r="C69" s="118"/>
      <c r="D69" s="117"/>
    </row>
    <row r="70" spans="1:4" ht="15" customHeight="1">
      <c r="A70" s="121" t="s">
        <v>56</v>
      </c>
      <c r="B70" s="122"/>
      <c r="C70" s="122"/>
      <c r="D70" s="123"/>
    </row>
    <row r="71" spans="1:4" ht="16.5" customHeight="1">
      <c r="A71" s="6" t="s">
        <v>91</v>
      </c>
      <c r="B71" s="21" t="s">
        <v>88</v>
      </c>
      <c r="C71" s="131">
        <v>2.14</v>
      </c>
      <c r="D71" s="133">
        <v>49616.61</v>
      </c>
    </row>
    <row r="72" spans="1:4">
      <c r="A72" s="6" t="s">
        <v>92</v>
      </c>
      <c r="B72" s="21" t="s">
        <v>88</v>
      </c>
      <c r="C72" s="132"/>
      <c r="D72" s="134"/>
    </row>
    <row r="73" spans="1:4" ht="15" customHeight="1">
      <c r="A73" s="6" t="s">
        <v>93</v>
      </c>
      <c r="B73" s="21" t="s">
        <v>88</v>
      </c>
      <c r="C73" s="130"/>
      <c r="D73" s="135"/>
    </row>
    <row r="74" spans="1:4" ht="38.25" customHeight="1">
      <c r="A74" s="6" t="s">
        <v>165</v>
      </c>
      <c r="B74" s="22" t="s">
        <v>23</v>
      </c>
      <c r="C74" s="76">
        <v>4.3499999999999996</v>
      </c>
      <c r="D74" s="76">
        <v>97806.34</v>
      </c>
    </row>
    <row r="75" spans="1:4">
      <c r="A75" s="80" t="s">
        <v>57</v>
      </c>
      <c r="B75" s="23"/>
      <c r="C75" s="28">
        <f>C74+C71+C68+C61+C48+C44+C37+C30+C26+C19+C16+C14+C13</f>
        <v>21.615040538209417</v>
      </c>
      <c r="D75" s="57">
        <f>D74+D71+D68+D61+D48+D44+D37+D30+D26+D19+D16+D14+D13</f>
        <v>498215.24</v>
      </c>
    </row>
    <row r="77" spans="1:4">
      <c r="D77" s="42"/>
    </row>
    <row r="78" spans="1:4">
      <c r="D78" s="42"/>
    </row>
    <row r="79" spans="1:4">
      <c r="D79" s="42"/>
    </row>
    <row r="80" spans="1:4">
      <c r="D80" s="42"/>
    </row>
  </sheetData>
  <mergeCells count="31">
    <mergeCell ref="C37:C42"/>
    <mergeCell ref="D37:D42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A43:D43"/>
    <mergeCell ref="C44:C46"/>
    <mergeCell ref="D44:D46"/>
    <mergeCell ref="A47:D47"/>
    <mergeCell ref="C48:C59"/>
    <mergeCell ref="D48:D59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81"/>
  <sheetViews>
    <sheetView topLeftCell="A61" workbookViewId="0">
      <selection activeCell="B17" sqref="B1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225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25" t="s">
        <v>59</v>
      </c>
      <c r="B4" s="2">
        <v>1973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70</v>
      </c>
      <c r="C7" s="2"/>
      <c r="D7" s="2"/>
    </row>
    <row r="8" spans="1:4">
      <c r="A8" s="25" t="s">
        <v>73</v>
      </c>
      <c r="B8" s="2">
        <v>3317.4</v>
      </c>
      <c r="C8" s="2"/>
      <c r="D8" s="2"/>
    </row>
    <row r="9" spans="1:4">
      <c r="A9" s="25" t="s">
        <v>63</v>
      </c>
      <c r="B9" s="2">
        <v>268</v>
      </c>
      <c r="C9" s="2"/>
      <c r="D9" s="2"/>
    </row>
    <row r="10" spans="1:4">
      <c r="A10" s="25" t="s">
        <v>74</v>
      </c>
      <c r="B10" s="48">
        <v>929.3</v>
      </c>
      <c r="C10" s="2"/>
      <c r="D10" s="2"/>
    </row>
    <row r="11" spans="1:4" ht="36.75">
      <c r="A11" s="79" t="s">
        <v>1</v>
      </c>
      <c r="B11" s="79" t="s">
        <v>2</v>
      </c>
      <c r="C11" s="79" t="s">
        <v>3</v>
      </c>
      <c r="D11" s="79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9" t="s">
        <v>7</v>
      </c>
      <c r="C13" s="77">
        <v>0.14000000000000001</v>
      </c>
      <c r="D13" s="29">
        <f>C13*9*B8</f>
        <v>4179.9240000000009</v>
      </c>
    </row>
    <row r="14" spans="1:4" ht="75.75" customHeight="1">
      <c r="A14" s="6" t="s">
        <v>90</v>
      </c>
      <c r="B14" s="79" t="s">
        <v>9</v>
      </c>
      <c r="C14" s="26">
        <v>1.34</v>
      </c>
      <c r="D14" s="29">
        <f>C14*9*B8</f>
        <v>40007.844000000005</v>
      </c>
    </row>
    <row r="15" spans="1:4">
      <c r="A15" s="6" t="s">
        <v>10</v>
      </c>
      <c r="B15" s="79"/>
      <c r="C15" s="26"/>
      <c r="D15" s="30"/>
    </row>
    <row r="16" spans="1:4">
      <c r="A16" s="6" t="s">
        <v>228</v>
      </c>
      <c r="B16" s="79" t="s">
        <v>81</v>
      </c>
      <c r="C16" s="46">
        <v>0.25</v>
      </c>
      <c r="D16" s="30">
        <f>C16*9*B8</f>
        <v>7464.1500000000005</v>
      </c>
    </row>
    <row r="17" spans="1:4">
      <c r="A17" s="82" t="s">
        <v>227</v>
      </c>
      <c r="B17" s="83" t="s">
        <v>108</v>
      </c>
      <c r="C17" s="46">
        <f>615*6.76/9/B8</f>
        <v>0.13924559393902855</v>
      </c>
      <c r="D17" s="30">
        <f>C17*9*B8</f>
        <v>4157.3999999999996</v>
      </c>
    </row>
    <row r="18" spans="1:4">
      <c r="A18" s="149" t="s">
        <v>11</v>
      </c>
      <c r="B18" s="150"/>
      <c r="C18" s="150"/>
      <c r="D18" s="151"/>
    </row>
    <row r="19" spans="1:4" ht="13.5" customHeight="1">
      <c r="A19" s="41" t="s">
        <v>98</v>
      </c>
      <c r="B19" s="80"/>
      <c r="C19" s="80"/>
      <c r="D19" s="80"/>
    </row>
    <row r="20" spans="1:4" ht="13.5" customHeight="1">
      <c r="A20" s="6" t="s">
        <v>12</v>
      </c>
      <c r="B20" s="79" t="s">
        <v>76</v>
      </c>
      <c r="C20" s="118">
        <v>2.16</v>
      </c>
      <c r="D20" s="125">
        <f>C20*B8*9</f>
        <v>64490.256000000008</v>
      </c>
    </row>
    <row r="21" spans="1:4" ht="12.75" customHeight="1">
      <c r="A21" s="6" t="s">
        <v>13</v>
      </c>
      <c r="B21" s="79" t="s">
        <v>76</v>
      </c>
      <c r="C21" s="118"/>
      <c r="D21" s="126"/>
    </row>
    <row r="22" spans="1:4" ht="14.25" customHeight="1">
      <c r="A22" s="6" t="s">
        <v>14</v>
      </c>
      <c r="B22" s="79" t="s">
        <v>76</v>
      </c>
      <c r="C22" s="118"/>
      <c r="D22" s="126"/>
    </row>
    <row r="23" spans="1:4" ht="13.5" customHeight="1">
      <c r="A23" s="6" t="s">
        <v>15</v>
      </c>
      <c r="B23" s="79" t="s">
        <v>77</v>
      </c>
      <c r="C23" s="118"/>
      <c r="D23" s="126"/>
    </row>
    <row r="24" spans="1:4" ht="12.75" customHeight="1">
      <c r="A24" s="41" t="s">
        <v>94</v>
      </c>
      <c r="B24" s="79"/>
      <c r="C24" s="118"/>
      <c r="D24" s="126"/>
    </row>
    <row r="25" spans="1:4" ht="30" customHeight="1">
      <c r="A25" s="6" t="s">
        <v>16</v>
      </c>
      <c r="B25" s="79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C27*B8*9</f>
        <v>5971.32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0.61</v>
      </c>
      <c r="D31" s="117">
        <f>C31*B8*9</f>
        <v>18212.526000000002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1.04</v>
      </c>
      <c r="D38" s="118">
        <f>C38*B8*9</f>
        <v>31050.864000000001</v>
      </c>
    </row>
    <row r="39" spans="1:4" ht="14.25" customHeight="1">
      <c r="A39" s="9" t="s">
        <v>68</v>
      </c>
      <c r="B39" s="22" t="s">
        <v>81</v>
      </c>
      <c r="C39" s="117"/>
      <c r="D39" s="119"/>
    </row>
    <row r="40" spans="1:4" ht="14.25" customHeight="1">
      <c r="A40" s="9" t="s">
        <v>69</v>
      </c>
      <c r="B40" s="22" t="s">
        <v>81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208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1.7</v>
      </c>
      <c r="D45" s="118">
        <f>C45*9*B8</f>
        <v>50756.22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3.77</v>
      </c>
      <c r="D49" s="117">
        <f>C49*9*B8-136.96</f>
        <v>112422.42199999999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80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81</v>
      </c>
      <c r="C56" s="117"/>
      <c r="D56" s="117"/>
    </row>
    <row r="57" spans="1:4" ht="14.25" customHeight="1">
      <c r="A57" s="9" t="s">
        <v>43</v>
      </c>
      <c r="B57" s="23" t="s">
        <v>81</v>
      </c>
      <c r="C57" s="117"/>
      <c r="D57" s="117"/>
    </row>
    <row r="58" spans="1:4" ht="13.5" customHeight="1">
      <c r="A58" s="9" t="s">
        <v>44</v>
      </c>
      <c r="B58" s="23" t="s">
        <v>81</v>
      </c>
      <c r="C58" s="117"/>
      <c r="D58" s="117"/>
    </row>
    <row r="59" spans="1:4" ht="13.5" customHeight="1">
      <c r="A59" s="9" t="s">
        <v>45</v>
      </c>
      <c r="B59" s="21" t="s">
        <v>226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>
      <c r="A61" s="128" t="s">
        <v>47</v>
      </c>
      <c r="B61" s="128"/>
      <c r="C61" s="128"/>
      <c r="D61" s="128"/>
    </row>
    <row r="62" spans="1:4" ht="15.75" customHeight="1">
      <c r="A62" s="9" t="s">
        <v>48</v>
      </c>
      <c r="B62" s="22" t="s">
        <v>84</v>
      </c>
      <c r="C62" s="118">
        <v>1.37</v>
      </c>
      <c r="D62" s="117">
        <f>C62*B8*9</f>
        <v>40903.542000000009</v>
      </c>
    </row>
    <row r="63" spans="1:4" ht="12.75" customHeight="1">
      <c r="A63" s="9" t="s">
        <v>49</v>
      </c>
      <c r="B63" s="22" t="s">
        <v>84</v>
      </c>
      <c r="C63" s="118"/>
      <c r="D63" s="117"/>
    </row>
    <row r="64" spans="1:4" ht="29.25" customHeight="1">
      <c r="A64" s="9" t="s">
        <v>50</v>
      </c>
      <c r="B64" s="22" t="s">
        <v>84</v>
      </c>
      <c r="C64" s="118"/>
      <c r="D64" s="117"/>
    </row>
    <row r="65" spans="1:4" ht="16.5" customHeight="1">
      <c r="A65" s="9" t="s">
        <v>51</v>
      </c>
      <c r="B65" s="22" t="s">
        <v>84</v>
      </c>
      <c r="C65" s="118"/>
      <c r="D65" s="117"/>
    </row>
    <row r="66" spans="1:4" ht="39.75" customHeight="1">
      <c r="A66" s="10" t="s">
        <v>52</v>
      </c>
      <c r="B66" s="22" t="s">
        <v>23</v>
      </c>
      <c r="C66" s="118"/>
      <c r="D66" s="117"/>
    </row>
    <row r="67" spans="1:4" ht="16.5" customHeight="1">
      <c r="A67" s="10" t="s">
        <v>53</v>
      </c>
      <c r="B67" s="23" t="s">
        <v>85</v>
      </c>
      <c r="C67" s="118"/>
      <c r="D67" s="117"/>
    </row>
    <row r="68" spans="1:4">
      <c r="A68" s="121" t="s">
        <v>86</v>
      </c>
      <c r="B68" s="122"/>
      <c r="C68" s="122"/>
      <c r="D68" s="123"/>
    </row>
    <row r="69" spans="1:4" ht="26.25" customHeight="1">
      <c r="A69" s="139" t="s">
        <v>97</v>
      </c>
      <c r="B69" s="141" t="s">
        <v>87</v>
      </c>
      <c r="C69" s="118">
        <v>2.41</v>
      </c>
      <c r="D69" s="117">
        <f>C69*B8*9</f>
        <v>71954.406000000017</v>
      </c>
    </row>
    <row r="70" spans="1:4" ht="13.5" customHeight="1">
      <c r="A70" s="140"/>
      <c r="B70" s="141"/>
      <c r="C70" s="118"/>
      <c r="D70" s="117"/>
    </row>
    <row r="71" spans="1:4" ht="15" customHeight="1">
      <c r="A71" s="121" t="s">
        <v>56</v>
      </c>
      <c r="B71" s="122"/>
      <c r="C71" s="122"/>
      <c r="D71" s="123"/>
    </row>
    <row r="72" spans="1:4" ht="16.5" customHeight="1">
      <c r="A72" s="6" t="s">
        <v>91</v>
      </c>
      <c r="B72" s="21" t="s">
        <v>88</v>
      </c>
      <c r="C72" s="131">
        <v>2.14</v>
      </c>
      <c r="D72" s="133">
        <v>63867.87</v>
      </c>
    </row>
    <row r="73" spans="1:4">
      <c r="A73" s="6" t="s">
        <v>92</v>
      </c>
      <c r="B73" s="21" t="s">
        <v>88</v>
      </c>
      <c r="C73" s="132"/>
      <c r="D73" s="134"/>
    </row>
    <row r="74" spans="1:4" ht="15" customHeight="1">
      <c r="A74" s="6" t="s">
        <v>93</v>
      </c>
      <c r="B74" s="21" t="s">
        <v>88</v>
      </c>
      <c r="C74" s="130"/>
      <c r="D74" s="135"/>
    </row>
    <row r="75" spans="1:4" ht="38.25" customHeight="1">
      <c r="A75" s="6" t="s">
        <v>165</v>
      </c>
      <c r="B75" s="22" t="s">
        <v>23</v>
      </c>
      <c r="C75" s="76">
        <v>4.3499999999999996</v>
      </c>
      <c r="D75" s="76">
        <v>127326.59</v>
      </c>
    </row>
    <row r="76" spans="1:4">
      <c r="A76" s="80" t="s">
        <v>57</v>
      </c>
      <c r="B76" s="23"/>
      <c r="C76" s="28">
        <f>C75+C72+C69+C62+C49+C45+C38+C31+C27+C20+C17+C16+C14+C13</f>
        <v>21.619245593939027</v>
      </c>
      <c r="D76" s="57">
        <f>D75+D72+D69+D62+D49+D45+D38+D31+D27+D20+D17+D16+D14+D13</f>
        <v>642765.33400000015</v>
      </c>
    </row>
    <row r="78" spans="1:4">
      <c r="D78" s="42">
        <v>451552.08</v>
      </c>
    </row>
    <row r="79" spans="1:4">
      <c r="D79" s="42">
        <f>D78+D75+D72</f>
        <v>642746.54</v>
      </c>
    </row>
    <row r="80" spans="1:4">
      <c r="D80" s="42">
        <f>D79-D76</f>
        <v>-18.794000000110827</v>
      </c>
    </row>
    <row r="81" spans="4:4">
      <c r="D81" s="42"/>
    </row>
  </sheetData>
  <mergeCells count="31">
    <mergeCell ref="C38:C43"/>
    <mergeCell ref="D38:D4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  <mergeCell ref="A44:D44"/>
    <mergeCell ref="C45:C47"/>
    <mergeCell ref="D45:D47"/>
    <mergeCell ref="A48:D48"/>
    <mergeCell ref="C49:C60"/>
    <mergeCell ref="D49:D60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86"/>
  <sheetViews>
    <sheetView topLeftCell="A64" workbookViewId="0">
      <selection activeCell="E13" sqref="E13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214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25" t="s">
        <v>59</v>
      </c>
      <c r="B4" s="2">
        <v>1977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70</v>
      </c>
      <c r="C7" s="2"/>
      <c r="D7" s="2"/>
    </row>
    <row r="8" spans="1:4">
      <c r="A8" s="25" t="s">
        <v>73</v>
      </c>
      <c r="B8" s="2">
        <v>3266.7</v>
      </c>
      <c r="C8" s="2"/>
      <c r="D8" s="2"/>
    </row>
    <row r="9" spans="1:4">
      <c r="A9" s="25" t="s">
        <v>63</v>
      </c>
      <c r="B9" s="2">
        <v>275</v>
      </c>
      <c r="C9" s="2"/>
      <c r="D9" s="2"/>
    </row>
    <row r="10" spans="1:4">
      <c r="A10" s="25" t="s">
        <v>74</v>
      </c>
      <c r="B10" s="48">
        <v>729.6</v>
      </c>
      <c r="C10" s="2"/>
      <c r="D10" s="2"/>
    </row>
    <row r="11" spans="1:4" ht="36.75">
      <c r="A11" s="79" t="s">
        <v>1</v>
      </c>
      <c r="B11" s="79" t="s">
        <v>2</v>
      </c>
      <c r="C11" s="79" t="s">
        <v>3</v>
      </c>
      <c r="D11" s="79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9" t="s">
        <v>7</v>
      </c>
      <c r="C13" s="77">
        <v>0.14000000000000001</v>
      </c>
      <c r="D13" s="29">
        <f>C13*9*B8</f>
        <v>4116.0420000000004</v>
      </c>
    </row>
    <row r="14" spans="1:4" ht="75.75" customHeight="1">
      <c r="A14" s="6" t="s">
        <v>90</v>
      </c>
      <c r="B14" s="79" t="s">
        <v>9</v>
      </c>
      <c r="C14" s="26">
        <v>2.34</v>
      </c>
      <c r="D14" s="29">
        <f>C14*9*B8</f>
        <v>68796.70199999999</v>
      </c>
    </row>
    <row r="15" spans="1:4">
      <c r="A15" s="6" t="s">
        <v>10</v>
      </c>
      <c r="B15" s="79"/>
      <c r="C15" s="26"/>
      <c r="D15" s="30"/>
    </row>
    <row r="16" spans="1:4">
      <c r="A16" s="6" t="s">
        <v>216</v>
      </c>
      <c r="B16" s="79" t="s">
        <v>223</v>
      </c>
      <c r="C16" s="46">
        <v>1.83</v>
      </c>
      <c r="D16" s="30">
        <f>C16*B8*9</f>
        <v>53802.548999999999</v>
      </c>
    </row>
    <row r="17" spans="1:4">
      <c r="A17" s="6" t="s">
        <v>217</v>
      </c>
      <c r="B17" s="79" t="s">
        <v>108</v>
      </c>
      <c r="C17" s="46">
        <v>0.14000000000000001</v>
      </c>
      <c r="D17" s="30">
        <f>C17*9*B8</f>
        <v>4116.0420000000004</v>
      </c>
    </row>
    <row r="18" spans="1:4">
      <c r="A18" s="6" t="s">
        <v>218</v>
      </c>
      <c r="B18" s="79" t="s">
        <v>81</v>
      </c>
      <c r="C18" s="46">
        <v>0.94</v>
      </c>
      <c r="D18" s="30">
        <f>C18*9*B8</f>
        <v>27636.281999999996</v>
      </c>
    </row>
    <row r="19" spans="1:4">
      <c r="A19" s="6" t="s">
        <v>219</v>
      </c>
      <c r="B19" s="79" t="s">
        <v>89</v>
      </c>
      <c r="C19" s="46">
        <f>3564/9/B8</f>
        <v>0.12122325282395079</v>
      </c>
      <c r="D19" s="30">
        <f>C19*9*B8</f>
        <v>3564.0000000000005</v>
      </c>
    </row>
    <row r="20" spans="1:4">
      <c r="A20" s="6" t="s">
        <v>221</v>
      </c>
      <c r="B20" s="83" t="s">
        <v>224</v>
      </c>
      <c r="C20" s="84">
        <v>0.27</v>
      </c>
      <c r="D20" s="85">
        <f>C20*9*B8</f>
        <v>7938.0810000000001</v>
      </c>
    </row>
    <row r="21" spans="1:4">
      <c r="A21" s="82" t="s">
        <v>220</v>
      </c>
      <c r="B21" s="83" t="s">
        <v>224</v>
      </c>
      <c r="C21" s="46">
        <f>615*24.17/9/B8</f>
        <v>0.50559177967571767</v>
      </c>
      <c r="D21" s="30">
        <f>C21*9*B8</f>
        <v>14864.550000000001</v>
      </c>
    </row>
    <row r="22" spans="1:4">
      <c r="A22" s="82" t="s">
        <v>222</v>
      </c>
      <c r="B22" s="79" t="s">
        <v>89</v>
      </c>
      <c r="C22" s="46">
        <f>5644/9/B8</f>
        <v>0.19197083022962352</v>
      </c>
      <c r="D22" s="30">
        <f>C22*9*B8</f>
        <v>5644</v>
      </c>
    </row>
    <row r="23" spans="1:4">
      <c r="A23" s="149" t="s">
        <v>11</v>
      </c>
      <c r="B23" s="150"/>
      <c r="C23" s="150"/>
      <c r="D23" s="151"/>
    </row>
    <row r="24" spans="1:4" ht="13.5" customHeight="1">
      <c r="A24" s="41" t="s">
        <v>98</v>
      </c>
      <c r="B24" s="80"/>
      <c r="C24" s="80"/>
      <c r="D24" s="80"/>
    </row>
    <row r="25" spans="1:4" ht="13.5" customHeight="1">
      <c r="A25" s="6" t="s">
        <v>12</v>
      </c>
      <c r="B25" s="79" t="s">
        <v>76</v>
      </c>
      <c r="C25" s="118">
        <v>2.16</v>
      </c>
      <c r="D25" s="125">
        <f>C25*B8*9</f>
        <v>63504.648000000001</v>
      </c>
    </row>
    <row r="26" spans="1:4" ht="12.75" customHeight="1">
      <c r="A26" s="6" t="s">
        <v>13</v>
      </c>
      <c r="B26" s="79" t="s">
        <v>76</v>
      </c>
      <c r="C26" s="118"/>
      <c r="D26" s="126"/>
    </row>
    <row r="27" spans="1:4" ht="14.25" customHeight="1">
      <c r="A27" s="6" t="s">
        <v>14</v>
      </c>
      <c r="B27" s="79" t="s">
        <v>76</v>
      </c>
      <c r="C27" s="118"/>
      <c r="D27" s="126"/>
    </row>
    <row r="28" spans="1:4" ht="13.5" customHeight="1">
      <c r="A28" s="6" t="s">
        <v>15</v>
      </c>
      <c r="B28" s="79" t="s">
        <v>77</v>
      </c>
      <c r="C28" s="118"/>
      <c r="D28" s="126"/>
    </row>
    <row r="29" spans="1:4" ht="12.75" customHeight="1">
      <c r="A29" s="41" t="s">
        <v>94</v>
      </c>
      <c r="B29" s="79"/>
      <c r="C29" s="118"/>
      <c r="D29" s="126"/>
    </row>
    <row r="30" spans="1:4" ht="30" customHeight="1">
      <c r="A30" s="6" t="s">
        <v>16</v>
      </c>
      <c r="B30" s="79" t="s">
        <v>95</v>
      </c>
      <c r="C30" s="118"/>
      <c r="D30" s="127"/>
    </row>
    <row r="31" spans="1:4" ht="12.75" customHeight="1">
      <c r="A31" s="121" t="s">
        <v>17</v>
      </c>
      <c r="B31" s="122"/>
      <c r="C31" s="122"/>
      <c r="D31" s="123"/>
    </row>
    <row r="32" spans="1:4" ht="12" customHeight="1">
      <c r="A32" s="7" t="s">
        <v>18</v>
      </c>
      <c r="B32" s="21" t="s">
        <v>79</v>
      </c>
      <c r="C32" s="118">
        <v>0.2</v>
      </c>
      <c r="D32" s="128">
        <f>C32*B8*9</f>
        <v>5880.06</v>
      </c>
    </row>
    <row r="33" spans="1:4" ht="12" customHeight="1">
      <c r="A33" s="7" t="s">
        <v>19</v>
      </c>
      <c r="B33" s="21" t="s">
        <v>78</v>
      </c>
      <c r="C33" s="118"/>
      <c r="D33" s="128"/>
    </row>
    <row r="34" spans="1:4" ht="13.5" customHeight="1">
      <c r="A34" s="121" t="s">
        <v>20</v>
      </c>
      <c r="B34" s="122"/>
      <c r="C34" s="122"/>
      <c r="D34" s="123"/>
    </row>
    <row r="35" spans="1:4">
      <c r="A35" s="128" t="s">
        <v>21</v>
      </c>
      <c r="B35" s="128"/>
      <c r="C35" s="128"/>
      <c r="D35" s="128"/>
    </row>
    <row r="36" spans="1:4" ht="37.5" customHeight="1">
      <c r="A36" s="8" t="s">
        <v>22</v>
      </c>
      <c r="B36" s="22" t="s">
        <v>80</v>
      </c>
      <c r="C36" s="118">
        <v>0.61</v>
      </c>
      <c r="D36" s="117">
        <f>C36*B8*9</f>
        <v>17934.182999999997</v>
      </c>
    </row>
    <row r="37" spans="1:4" ht="15" customHeight="1">
      <c r="A37" s="9" t="s">
        <v>24</v>
      </c>
      <c r="B37" s="23" t="s">
        <v>81</v>
      </c>
      <c r="C37" s="118"/>
      <c r="D37" s="126"/>
    </row>
    <row r="38" spans="1:4" ht="13.5" customHeight="1">
      <c r="A38" s="9" t="s">
        <v>26</v>
      </c>
      <c r="B38" s="23" t="s">
        <v>81</v>
      </c>
      <c r="C38" s="118"/>
      <c r="D38" s="126"/>
    </row>
    <row r="39" spans="1:4" ht="36" customHeight="1">
      <c r="A39" s="9" t="s">
        <v>27</v>
      </c>
      <c r="B39" s="22" t="s">
        <v>23</v>
      </c>
      <c r="C39" s="118"/>
      <c r="D39" s="126"/>
    </row>
    <row r="40" spans="1:4" ht="14.25" customHeight="1">
      <c r="A40" s="9" t="s">
        <v>28</v>
      </c>
      <c r="B40" s="22" t="s">
        <v>25</v>
      </c>
      <c r="C40" s="118"/>
      <c r="D40" s="126"/>
    </row>
    <row r="41" spans="1:4" ht="33.75" customHeight="1">
      <c r="A41" s="24" t="s">
        <v>29</v>
      </c>
      <c r="B41" s="22" t="s">
        <v>23</v>
      </c>
      <c r="C41" s="129"/>
      <c r="D41" s="127"/>
    </row>
    <row r="42" spans="1:4" ht="15.75" customHeight="1">
      <c r="A42" s="128" t="s">
        <v>66</v>
      </c>
      <c r="B42" s="128"/>
      <c r="C42" s="128"/>
      <c r="D42" s="128"/>
    </row>
    <row r="43" spans="1:4" ht="36.75" customHeight="1">
      <c r="A43" s="9" t="s">
        <v>67</v>
      </c>
      <c r="B43" s="22" t="s">
        <v>80</v>
      </c>
      <c r="C43" s="117">
        <v>0.5</v>
      </c>
      <c r="D43" s="118">
        <f>C43*B8*9</f>
        <v>14700.15</v>
      </c>
    </row>
    <row r="44" spans="1:4" ht="14.25" customHeight="1">
      <c r="A44" s="9" t="s">
        <v>68</v>
      </c>
      <c r="B44" s="22" t="s">
        <v>81</v>
      </c>
      <c r="C44" s="117"/>
      <c r="D44" s="119"/>
    </row>
    <row r="45" spans="1:4" ht="14.25" customHeight="1">
      <c r="A45" s="9" t="s">
        <v>69</v>
      </c>
      <c r="B45" s="22" t="s">
        <v>81</v>
      </c>
      <c r="C45" s="117"/>
      <c r="D45" s="119"/>
    </row>
    <row r="46" spans="1:4" ht="24" customHeight="1">
      <c r="A46" s="9" t="s">
        <v>70</v>
      </c>
      <c r="B46" s="22" t="s">
        <v>80</v>
      </c>
      <c r="C46" s="117"/>
      <c r="D46" s="119"/>
    </row>
    <row r="47" spans="1:4" ht="25.5" customHeight="1">
      <c r="A47" s="10" t="s">
        <v>71</v>
      </c>
      <c r="B47" s="22" t="s">
        <v>80</v>
      </c>
      <c r="C47" s="117"/>
      <c r="D47" s="119"/>
    </row>
    <row r="48" spans="1:4" ht="14.25" customHeight="1">
      <c r="A48" s="9" t="s">
        <v>72</v>
      </c>
      <c r="B48" s="22" t="s">
        <v>208</v>
      </c>
      <c r="C48" s="117"/>
      <c r="D48" s="120"/>
    </row>
    <row r="49" spans="1:4" ht="11.25" customHeight="1">
      <c r="A49" s="130" t="s">
        <v>30</v>
      </c>
      <c r="B49" s="130"/>
      <c r="C49" s="130"/>
      <c r="D49" s="130"/>
    </row>
    <row r="50" spans="1:4" ht="35.25" customHeight="1">
      <c r="A50" s="9" t="s">
        <v>31</v>
      </c>
      <c r="B50" s="22" t="s">
        <v>23</v>
      </c>
      <c r="C50" s="117">
        <v>0.7</v>
      </c>
      <c r="D50" s="118">
        <f>C50*9*B8</f>
        <v>20580.21</v>
      </c>
    </row>
    <row r="51" spans="1:4" ht="38.25" customHeight="1">
      <c r="A51" s="9" t="s">
        <v>32</v>
      </c>
      <c r="B51" s="22" t="s">
        <v>23</v>
      </c>
      <c r="C51" s="117"/>
      <c r="D51" s="118"/>
    </row>
    <row r="52" spans="1:4" ht="15" customHeight="1">
      <c r="A52" s="10" t="s">
        <v>33</v>
      </c>
      <c r="B52" s="22" t="s">
        <v>23</v>
      </c>
      <c r="C52" s="117"/>
      <c r="D52" s="118"/>
    </row>
    <row r="53" spans="1:4" ht="12.75" customHeight="1">
      <c r="A53" s="128" t="s">
        <v>34</v>
      </c>
      <c r="B53" s="128"/>
      <c r="C53" s="128"/>
      <c r="D53" s="128"/>
    </row>
    <row r="54" spans="1:4" ht="29.25" customHeight="1">
      <c r="A54" s="9" t="s">
        <v>35</v>
      </c>
      <c r="B54" s="22" t="s">
        <v>78</v>
      </c>
      <c r="C54" s="117">
        <v>0.82</v>
      </c>
      <c r="D54" s="117">
        <f>C54*9*B8+50.11</f>
        <v>24158.356</v>
      </c>
    </row>
    <row r="55" spans="1:4" ht="14.25" customHeight="1">
      <c r="A55" s="9" t="s">
        <v>36</v>
      </c>
      <c r="B55" s="22" t="s">
        <v>82</v>
      </c>
      <c r="C55" s="117"/>
      <c r="D55" s="117"/>
    </row>
    <row r="56" spans="1:4" ht="17.25" customHeight="1">
      <c r="A56" s="9" t="s">
        <v>37</v>
      </c>
      <c r="B56" s="22" t="s">
        <v>82</v>
      </c>
      <c r="C56" s="117"/>
      <c r="D56" s="117"/>
    </row>
    <row r="57" spans="1:4" ht="24.75" customHeight="1">
      <c r="A57" s="9" t="s">
        <v>38</v>
      </c>
      <c r="B57" s="22" t="s">
        <v>83</v>
      </c>
      <c r="C57" s="117"/>
      <c r="D57" s="117"/>
    </row>
    <row r="58" spans="1:4" ht="30" customHeight="1">
      <c r="A58" s="9" t="s">
        <v>39</v>
      </c>
      <c r="B58" s="22" t="s">
        <v>83</v>
      </c>
      <c r="C58" s="117"/>
      <c r="D58" s="117"/>
    </row>
    <row r="59" spans="1:4" ht="12.75" customHeight="1">
      <c r="A59" s="80" t="s">
        <v>96</v>
      </c>
      <c r="B59" s="6"/>
      <c r="C59" s="117"/>
      <c r="D59" s="117"/>
    </row>
    <row r="60" spans="1:4" ht="35.25" customHeight="1">
      <c r="A60" s="9" t="s">
        <v>41</v>
      </c>
      <c r="B60" s="22" t="s">
        <v>80</v>
      </c>
      <c r="C60" s="117"/>
      <c r="D60" s="117"/>
    </row>
    <row r="61" spans="1:4" ht="14.25" customHeight="1">
      <c r="A61" s="9" t="s">
        <v>42</v>
      </c>
      <c r="B61" s="22" t="s">
        <v>81</v>
      </c>
      <c r="C61" s="117"/>
      <c r="D61" s="117"/>
    </row>
    <row r="62" spans="1:4" ht="14.25" customHeight="1">
      <c r="A62" s="9" t="s">
        <v>43</v>
      </c>
      <c r="B62" s="23" t="s">
        <v>81</v>
      </c>
      <c r="C62" s="117"/>
      <c r="D62" s="117"/>
    </row>
    <row r="63" spans="1:4" ht="13.5" customHeight="1">
      <c r="A63" s="9" t="s">
        <v>44</v>
      </c>
      <c r="B63" s="23" t="s">
        <v>81</v>
      </c>
      <c r="C63" s="117"/>
      <c r="D63" s="117"/>
    </row>
    <row r="64" spans="1:4" ht="13.5" customHeight="1">
      <c r="A64" s="9" t="s">
        <v>45</v>
      </c>
      <c r="B64" s="21" t="s">
        <v>215</v>
      </c>
      <c r="C64" s="117"/>
      <c r="D64" s="117"/>
    </row>
    <row r="65" spans="1:4" ht="36.75" customHeight="1">
      <c r="A65" s="10" t="s">
        <v>46</v>
      </c>
      <c r="B65" s="22" t="s">
        <v>23</v>
      </c>
      <c r="C65" s="117"/>
      <c r="D65" s="117"/>
    </row>
    <row r="66" spans="1:4">
      <c r="A66" s="128" t="s">
        <v>47</v>
      </c>
      <c r="B66" s="128"/>
      <c r="C66" s="128"/>
      <c r="D66" s="128"/>
    </row>
    <row r="67" spans="1:4" ht="15.75" customHeight="1">
      <c r="A67" s="9" t="s">
        <v>48</v>
      </c>
      <c r="B67" s="22" t="s">
        <v>84</v>
      </c>
      <c r="C67" s="118">
        <v>1.25</v>
      </c>
      <c r="D67" s="117">
        <f>C67*B8*9</f>
        <v>36750.375</v>
      </c>
    </row>
    <row r="68" spans="1:4" ht="12.75" customHeight="1">
      <c r="A68" s="9" t="s">
        <v>49</v>
      </c>
      <c r="B68" s="22" t="s">
        <v>84</v>
      </c>
      <c r="C68" s="118"/>
      <c r="D68" s="117"/>
    </row>
    <row r="69" spans="1:4" ht="28.5" customHeight="1">
      <c r="A69" s="9" t="s">
        <v>50</v>
      </c>
      <c r="B69" s="22" t="s">
        <v>84</v>
      </c>
      <c r="C69" s="118"/>
      <c r="D69" s="117"/>
    </row>
    <row r="70" spans="1:4" ht="16.5" customHeight="1">
      <c r="A70" s="9" t="s">
        <v>51</v>
      </c>
      <c r="B70" s="22" t="s">
        <v>84</v>
      </c>
      <c r="C70" s="118"/>
      <c r="D70" s="117"/>
    </row>
    <row r="71" spans="1:4" ht="39.75" customHeight="1">
      <c r="A71" s="10" t="s">
        <v>52</v>
      </c>
      <c r="B71" s="22" t="s">
        <v>23</v>
      </c>
      <c r="C71" s="118"/>
      <c r="D71" s="117"/>
    </row>
    <row r="72" spans="1:4" ht="16.5" customHeight="1">
      <c r="A72" s="10" t="s">
        <v>53</v>
      </c>
      <c r="B72" s="23" t="s">
        <v>85</v>
      </c>
      <c r="C72" s="118"/>
      <c r="D72" s="117"/>
    </row>
    <row r="73" spans="1:4">
      <c r="A73" s="121" t="s">
        <v>86</v>
      </c>
      <c r="B73" s="122"/>
      <c r="C73" s="122"/>
      <c r="D73" s="123"/>
    </row>
    <row r="74" spans="1:4" ht="26.25" customHeight="1">
      <c r="A74" s="139" t="s">
        <v>97</v>
      </c>
      <c r="B74" s="141" t="s">
        <v>87</v>
      </c>
      <c r="C74" s="118">
        <v>2.41</v>
      </c>
      <c r="D74" s="117">
        <f>C74*B8*9</f>
        <v>70854.722999999998</v>
      </c>
    </row>
    <row r="75" spans="1:4" ht="13.5" customHeight="1">
      <c r="A75" s="140"/>
      <c r="B75" s="141"/>
      <c r="C75" s="118"/>
      <c r="D75" s="117"/>
    </row>
    <row r="76" spans="1:4" ht="15" customHeight="1">
      <c r="A76" s="121" t="s">
        <v>56</v>
      </c>
      <c r="B76" s="122"/>
      <c r="C76" s="122"/>
      <c r="D76" s="123"/>
    </row>
    <row r="77" spans="1:4" ht="16.5" customHeight="1">
      <c r="A77" s="6" t="s">
        <v>91</v>
      </c>
      <c r="B77" s="21" t="s">
        <v>88</v>
      </c>
      <c r="C77" s="131">
        <v>2.14</v>
      </c>
      <c r="D77" s="133">
        <v>62919.040000000001</v>
      </c>
    </row>
    <row r="78" spans="1:4">
      <c r="A78" s="6" t="s">
        <v>92</v>
      </c>
      <c r="B78" s="21" t="s">
        <v>88</v>
      </c>
      <c r="C78" s="132"/>
      <c r="D78" s="134"/>
    </row>
    <row r="79" spans="1:4" ht="15" customHeight="1">
      <c r="A79" s="6" t="s">
        <v>93</v>
      </c>
      <c r="B79" s="21" t="s">
        <v>88</v>
      </c>
      <c r="C79" s="130"/>
      <c r="D79" s="135"/>
    </row>
    <row r="80" spans="1:4" ht="38.25" customHeight="1">
      <c r="A80" s="6" t="s">
        <v>165</v>
      </c>
      <c r="B80" s="22" t="s">
        <v>23</v>
      </c>
      <c r="C80" s="76">
        <v>4.3499999999999996</v>
      </c>
      <c r="D80" s="76">
        <v>127896.79</v>
      </c>
    </row>
    <row r="81" spans="1:4">
      <c r="A81" s="80" t="s">
        <v>57</v>
      </c>
      <c r="B81" s="23"/>
      <c r="C81" s="28">
        <f>C80+C77+C74+C67+C54+C50+C43+C36+C32+C25+C22+C21+C20+C19+C18+C17+C16+C14+C13</f>
        <v>21.618785862729293</v>
      </c>
      <c r="D81" s="57">
        <f>D80+D77+D74+D67+D54+D50+D43+D36+D32+D25+D22+D21+D20+D19+D18+D17+D16+D14+D13</f>
        <v>635656.78300000017</v>
      </c>
    </row>
    <row r="83" spans="1:4">
      <c r="D83" s="42"/>
    </row>
    <row r="84" spans="1:4">
      <c r="D84" s="42"/>
    </row>
    <row r="85" spans="1:4">
      <c r="D85" s="42"/>
    </row>
    <row r="86" spans="1:4">
      <c r="D86" s="42"/>
    </row>
  </sheetData>
  <mergeCells count="31">
    <mergeCell ref="C43:C48"/>
    <mergeCell ref="D43:D48"/>
    <mergeCell ref="A12:D12"/>
    <mergeCell ref="A23:D23"/>
    <mergeCell ref="C25:C30"/>
    <mergeCell ref="D25:D30"/>
    <mergeCell ref="A31:D31"/>
    <mergeCell ref="C32:C33"/>
    <mergeCell ref="D32:D33"/>
    <mergeCell ref="A34:D34"/>
    <mergeCell ref="A35:D35"/>
    <mergeCell ref="C36:C41"/>
    <mergeCell ref="D36:D41"/>
    <mergeCell ref="A42:D42"/>
    <mergeCell ref="A49:D49"/>
    <mergeCell ref="C50:C52"/>
    <mergeCell ref="D50:D52"/>
    <mergeCell ref="A53:D53"/>
    <mergeCell ref="C54:C65"/>
    <mergeCell ref="D54:D65"/>
    <mergeCell ref="A76:D76"/>
    <mergeCell ref="C77:C79"/>
    <mergeCell ref="D77:D79"/>
    <mergeCell ref="A66:D66"/>
    <mergeCell ref="C67:C72"/>
    <mergeCell ref="D67:D72"/>
    <mergeCell ref="A73:D73"/>
    <mergeCell ref="A74:A75"/>
    <mergeCell ref="B74:B75"/>
    <mergeCell ref="C74:C75"/>
    <mergeCell ref="D74:D7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83"/>
  <sheetViews>
    <sheetView topLeftCell="A61" workbookViewId="0">
      <selection activeCell="D80" sqref="D80:D82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209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25" t="s">
        <v>59</v>
      </c>
      <c r="B4" s="2">
        <v>1994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6</v>
      </c>
      <c r="C6" s="2"/>
      <c r="D6" s="2"/>
    </row>
    <row r="7" spans="1:4">
      <c r="A7" s="25" t="s">
        <v>62</v>
      </c>
      <c r="B7" s="2">
        <v>72</v>
      </c>
      <c r="C7" s="2"/>
      <c r="D7" s="2"/>
    </row>
    <row r="8" spans="1:4">
      <c r="A8" s="25" t="s">
        <v>73</v>
      </c>
      <c r="B8" s="2">
        <v>3417.1</v>
      </c>
      <c r="C8" s="2"/>
      <c r="D8" s="2"/>
    </row>
    <row r="9" spans="1:4">
      <c r="A9" s="25" t="s">
        <v>63</v>
      </c>
      <c r="B9" s="2">
        <v>347.4</v>
      </c>
      <c r="C9" s="2"/>
      <c r="D9" s="2"/>
    </row>
    <row r="10" spans="1:4">
      <c r="A10" s="25" t="s">
        <v>74</v>
      </c>
      <c r="B10" s="48">
        <v>950.8</v>
      </c>
      <c r="C10" s="2"/>
      <c r="D10" s="2"/>
    </row>
    <row r="11" spans="1:4" ht="36.75">
      <c r="A11" s="74" t="s">
        <v>1</v>
      </c>
      <c r="B11" s="74" t="s">
        <v>2</v>
      </c>
      <c r="C11" s="74" t="s">
        <v>3</v>
      </c>
      <c r="D11" s="74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4" t="s">
        <v>7</v>
      </c>
      <c r="C13" s="73">
        <v>0.14000000000000001</v>
      </c>
      <c r="D13" s="29">
        <f>C13*9*B8</f>
        <v>4305.5460000000003</v>
      </c>
    </row>
    <row r="14" spans="1:4" ht="75.75" customHeight="1">
      <c r="A14" s="6" t="s">
        <v>90</v>
      </c>
      <c r="B14" s="74" t="s">
        <v>9</v>
      </c>
      <c r="C14" s="26">
        <v>2.34</v>
      </c>
      <c r="D14" s="29">
        <f>C14*9*B8</f>
        <v>71964.125999999989</v>
      </c>
    </row>
    <row r="15" spans="1:4">
      <c r="A15" s="6" t="s">
        <v>10</v>
      </c>
      <c r="B15" s="74"/>
      <c r="C15" s="26"/>
      <c r="D15" s="30"/>
    </row>
    <row r="16" spans="1:4">
      <c r="A16" s="6" t="s">
        <v>210</v>
      </c>
      <c r="B16" s="79" t="s">
        <v>108</v>
      </c>
      <c r="C16" s="46">
        <f>4986/9/B8</f>
        <v>0.16212577916947118</v>
      </c>
      <c r="D16" s="30">
        <f>C16*B8*9</f>
        <v>4986</v>
      </c>
    </row>
    <row r="17" spans="1:4">
      <c r="A17" s="6" t="s">
        <v>206</v>
      </c>
      <c r="B17" s="79" t="s">
        <v>89</v>
      </c>
      <c r="C17" s="46">
        <f>11276/9/B8</f>
        <v>0.36665268470015189</v>
      </c>
      <c r="D17" s="30">
        <f>C17*9*B8</f>
        <v>11276</v>
      </c>
    </row>
    <row r="18" spans="1:4">
      <c r="A18" s="6" t="s">
        <v>211</v>
      </c>
      <c r="B18" s="83" t="s">
        <v>85</v>
      </c>
      <c r="C18" s="84">
        <f>24363/9/B8</f>
        <v>0.79219220976851723</v>
      </c>
      <c r="D18" s="85">
        <f>C18*9*B8</f>
        <v>24363</v>
      </c>
    </row>
    <row r="19" spans="1:4">
      <c r="A19" s="149" t="s">
        <v>11</v>
      </c>
      <c r="B19" s="150"/>
      <c r="C19" s="150"/>
      <c r="D19" s="151"/>
    </row>
    <row r="20" spans="1:4" ht="13.5" customHeight="1">
      <c r="A20" s="41" t="s">
        <v>98</v>
      </c>
      <c r="B20" s="75"/>
      <c r="C20" s="75"/>
      <c r="D20" s="75"/>
    </row>
    <row r="21" spans="1:4" ht="13.5" customHeight="1">
      <c r="A21" s="6" t="s">
        <v>12</v>
      </c>
      <c r="B21" s="74" t="s">
        <v>76</v>
      </c>
      <c r="C21" s="118">
        <v>2.16</v>
      </c>
      <c r="D21" s="125">
        <f>C21*B8*9</f>
        <v>66428.423999999999</v>
      </c>
    </row>
    <row r="22" spans="1:4" ht="12.75" customHeight="1">
      <c r="A22" s="6" t="s">
        <v>13</v>
      </c>
      <c r="B22" s="74" t="s">
        <v>76</v>
      </c>
      <c r="C22" s="118"/>
      <c r="D22" s="126"/>
    </row>
    <row r="23" spans="1:4" ht="14.25" customHeight="1">
      <c r="A23" s="6" t="s">
        <v>14</v>
      </c>
      <c r="B23" s="74" t="s">
        <v>76</v>
      </c>
      <c r="C23" s="118"/>
      <c r="D23" s="126"/>
    </row>
    <row r="24" spans="1:4" ht="13.5" customHeight="1">
      <c r="A24" s="6" t="s">
        <v>15</v>
      </c>
      <c r="B24" s="74" t="s">
        <v>77</v>
      </c>
      <c r="C24" s="118"/>
      <c r="D24" s="126"/>
    </row>
    <row r="25" spans="1:4" ht="12.75" customHeight="1">
      <c r="A25" s="41" t="s">
        <v>94</v>
      </c>
      <c r="B25" s="74"/>
      <c r="C25" s="118"/>
      <c r="D25" s="126"/>
    </row>
    <row r="26" spans="1:4" ht="30" customHeight="1">
      <c r="A26" s="6" t="s">
        <v>16</v>
      </c>
      <c r="B26" s="74" t="s">
        <v>95</v>
      </c>
      <c r="C26" s="118"/>
      <c r="D26" s="127"/>
    </row>
    <row r="27" spans="1:4" ht="12.75" customHeight="1">
      <c r="A27" s="121" t="s">
        <v>17</v>
      </c>
      <c r="B27" s="122"/>
      <c r="C27" s="122"/>
      <c r="D27" s="123"/>
    </row>
    <row r="28" spans="1:4" ht="12" customHeight="1">
      <c r="A28" s="7" t="s">
        <v>18</v>
      </c>
      <c r="B28" s="21" t="s">
        <v>79</v>
      </c>
      <c r="C28" s="118">
        <v>0.2</v>
      </c>
      <c r="D28" s="128">
        <f>C28*B8*9</f>
        <v>6150.7800000000007</v>
      </c>
    </row>
    <row r="29" spans="1:4" ht="12" customHeight="1">
      <c r="A29" s="7" t="s">
        <v>19</v>
      </c>
      <c r="B29" s="21" t="s">
        <v>78</v>
      </c>
      <c r="C29" s="118"/>
      <c r="D29" s="128"/>
    </row>
    <row r="30" spans="1:4" ht="13.5" customHeight="1">
      <c r="A30" s="121" t="s">
        <v>20</v>
      </c>
      <c r="B30" s="122"/>
      <c r="C30" s="122"/>
      <c r="D30" s="123"/>
    </row>
    <row r="31" spans="1:4">
      <c r="A31" s="128" t="s">
        <v>21</v>
      </c>
      <c r="B31" s="128"/>
      <c r="C31" s="128"/>
      <c r="D31" s="128"/>
    </row>
    <row r="32" spans="1:4" ht="37.5" customHeight="1">
      <c r="A32" s="8" t="s">
        <v>22</v>
      </c>
      <c r="B32" s="22" t="s">
        <v>80</v>
      </c>
      <c r="C32" s="118">
        <v>0.61</v>
      </c>
      <c r="D32" s="117">
        <f>C32*B8*9</f>
        <v>18759.879000000001</v>
      </c>
    </row>
    <row r="33" spans="1:4" ht="15" customHeight="1">
      <c r="A33" s="9" t="s">
        <v>24</v>
      </c>
      <c r="B33" s="23" t="s">
        <v>81</v>
      </c>
      <c r="C33" s="118"/>
      <c r="D33" s="126"/>
    </row>
    <row r="34" spans="1:4" ht="13.5" customHeight="1">
      <c r="A34" s="9" t="s">
        <v>26</v>
      </c>
      <c r="B34" s="23" t="s">
        <v>81</v>
      </c>
      <c r="C34" s="118"/>
      <c r="D34" s="126"/>
    </row>
    <row r="35" spans="1:4" ht="36" customHeight="1">
      <c r="A35" s="9" t="s">
        <v>27</v>
      </c>
      <c r="B35" s="22" t="s">
        <v>23</v>
      </c>
      <c r="C35" s="118"/>
      <c r="D35" s="126"/>
    </row>
    <row r="36" spans="1:4" ht="14.25" customHeight="1">
      <c r="A36" s="9" t="s">
        <v>28</v>
      </c>
      <c r="B36" s="22" t="s">
        <v>25</v>
      </c>
      <c r="C36" s="118"/>
      <c r="D36" s="126"/>
    </row>
    <row r="37" spans="1:4" ht="33.75" customHeight="1">
      <c r="A37" s="24" t="s">
        <v>29</v>
      </c>
      <c r="B37" s="22" t="s">
        <v>23</v>
      </c>
      <c r="C37" s="129"/>
      <c r="D37" s="127"/>
    </row>
    <row r="38" spans="1:4" ht="15.75" customHeight="1">
      <c r="A38" s="128" t="s">
        <v>66</v>
      </c>
      <c r="B38" s="128"/>
      <c r="C38" s="128"/>
      <c r="D38" s="128"/>
    </row>
    <row r="39" spans="1:4" ht="36.75" customHeight="1">
      <c r="A39" s="9" t="s">
        <v>67</v>
      </c>
      <c r="B39" s="22" t="s">
        <v>80</v>
      </c>
      <c r="C39" s="117">
        <v>1</v>
      </c>
      <c r="D39" s="118">
        <f>C39*B8*9</f>
        <v>30753.899999999998</v>
      </c>
    </row>
    <row r="40" spans="1:4" ht="14.25" customHeight="1">
      <c r="A40" s="9" t="s">
        <v>68</v>
      </c>
      <c r="B40" s="22" t="s">
        <v>81</v>
      </c>
      <c r="C40" s="117"/>
      <c r="D40" s="119"/>
    </row>
    <row r="41" spans="1:4" ht="14.25" customHeight="1">
      <c r="A41" s="9" t="s">
        <v>69</v>
      </c>
      <c r="B41" s="22" t="s">
        <v>81</v>
      </c>
      <c r="C41" s="117"/>
      <c r="D41" s="119"/>
    </row>
    <row r="42" spans="1:4" ht="24" customHeight="1">
      <c r="A42" s="9" t="s">
        <v>70</v>
      </c>
      <c r="B42" s="22" t="s">
        <v>80</v>
      </c>
      <c r="C42" s="117"/>
      <c r="D42" s="119"/>
    </row>
    <row r="43" spans="1:4" ht="25.5" customHeight="1">
      <c r="A43" s="10" t="s">
        <v>71</v>
      </c>
      <c r="B43" s="22" t="s">
        <v>80</v>
      </c>
      <c r="C43" s="117"/>
      <c r="D43" s="119"/>
    </row>
    <row r="44" spans="1:4" ht="14.25" customHeight="1">
      <c r="A44" s="9" t="s">
        <v>72</v>
      </c>
      <c r="B44" s="22" t="s">
        <v>208</v>
      </c>
      <c r="C44" s="117"/>
      <c r="D44" s="120"/>
    </row>
    <row r="45" spans="1:4" ht="11.25" customHeight="1">
      <c r="A45" s="130" t="s">
        <v>30</v>
      </c>
      <c r="B45" s="130"/>
      <c r="C45" s="130"/>
      <c r="D45" s="130"/>
    </row>
    <row r="46" spans="1:4" ht="35.25" customHeight="1">
      <c r="A46" s="9" t="s">
        <v>31</v>
      </c>
      <c r="B46" s="22" t="s">
        <v>23</v>
      </c>
      <c r="C46" s="117">
        <v>0.7</v>
      </c>
      <c r="D46" s="118">
        <f>C46*9*B8</f>
        <v>21527.73</v>
      </c>
    </row>
    <row r="47" spans="1:4" ht="38.25" customHeight="1">
      <c r="A47" s="9" t="s">
        <v>32</v>
      </c>
      <c r="B47" s="22" t="s">
        <v>23</v>
      </c>
      <c r="C47" s="117"/>
      <c r="D47" s="118"/>
    </row>
    <row r="48" spans="1:4" ht="15" customHeight="1">
      <c r="A48" s="10" t="s">
        <v>33</v>
      </c>
      <c r="B48" s="22" t="s">
        <v>23</v>
      </c>
      <c r="C48" s="117"/>
      <c r="D48" s="118"/>
    </row>
    <row r="49" spans="1:4" ht="12.75" customHeight="1">
      <c r="A49" s="128" t="s">
        <v>34</v>
      </c>
      <c r="B49" s="128"/>
      <c r="C49" s="128"/>
      <c r="D49" s="128"/>
    </row>
    <row r="50" spans="1:4" ht="29.25" customHeight="1">
      <c r="A50" s="9" t="s">
        <v>35</v>
      </c>
      <c r="B50" s="22" t="s">
        <v>78</v>
      </c>
      <c r="C50" s="117">
        <v>2.5</v>
      </c>
      <c r="D50" s="117">
        <f>C50*9*B8</f>
        <v>76884.75</v>
      </c>
    </row>
    <row r="51" spans="1:4" ht="14.25" customHeight="1">
      <c r="A51" s="9" t="s">
        <v>36</v>
      </c>
      <c r="B51" s="22" t="s">
        <v>82</v>
      </c>
      <c r="C51" s="117"/>
      <c r="D51" s="117"/>
    </row>
    <row r="52" spans="1:4" ht="17.25" customHeight="1">
      <c r="A52" s="9" t="s">
        <v>37</v>
      </c>
      <c r="B52" s="22" t="s">
        <v>82</v>
      </c>
      <c r="C52" s="117"/>
      <c r="D52" s="117"/>
    </row>
    <row r="53" spans="1:4" ht="24.75" customHeight="1">
      <c r="A53" s="9" t="s">
        <v>38</v>
      </c>
      <c r="B53" s="22" t="s">
        <v>83</v>
      </c>
      <c r="C53" s="117"/>
      <c r="D53" s="117"/>
    </row>
    <row r="54" spans="1:4" ht="30" customHeight="1">
      <c r="A54" s="9" t="s">
        <v>39</v>
      </c>
      <c r="B54" s="22" t="s">
        <v>83</v>
      </c>
      <c r="C54" s="117"/>
      <c r="D54" s="117"/>
    </row>
    <row r="55" spans="1:4" ht="12.75" customHeight="1">
      <c r="A55" s="75" t="s">
        <v>96</v>
      </c>
      <c r="B55" s="6"/>
      <c r="C55" s="117"/>
      <c r="D55" s="117"/>
    </row>
    <row r="56" spans="1:4" ht="35.25" customHeight="1">
      <c r="A56" s="9" t="s">
        <v>41</v>
      </c>
      <c r="B56" s="22" t="s">
        <v>80</v>
      </c>
      <c r="C56" s="117"/>
      <c r="D56" s="117"/>
    </row>
    <row r="57" spans="1:4" ht="14.25" customHeight="1">
      <c r="A57" s="9" t="s">
        <v>42</v>
      </c>
      <c r="B57" s="22" t="s">
        <v>81</v>
      </c>
      <c r="C57" s="117"/>
      <c r="D57" s="117"/>
    </row>
    <row r="58" spans="1:4" ht="14.25" customHeight="1">
      <c r="A58" s="9" t="s">
        <v>43</v>
      </c>
      <c r="B58" s="23" t="s">
        <v>81</v>
      </c>
      <c r="C58" s="117"/>
      <c r="D58" s="117"/>
    </row>
    <row r="59" spans="1:4" ht="13.5" customHeight="1">
      <c r="A59" s="9" t="s">
        <v>44</v>
      </c>
      <c r="B59" s="23" t="s">
        <v>81</v>
      </c>
      <c r="C59" s="117"/>
      <c r="D59" s="117"/>
    </row>
    <row r="60" spans="1:4" ht="13.5" customHeight="1">
      <c r="A60" s="9" t="s">
        <v>45</v>
      </c>
      <c r="B60" s="21" t="s">
        <v>213</v>
      </c>
      <c r="C60" s="117"/>
      <c r="D60" s="117"/>
    </row>
    <row r="61" spans="1:4" ht="36.75" customHeight="1">
      <c r="A61" s="10" t="s">
        <v>46</v>
      </c>
      <c r="B61" s="22" t="s">
        <v>23</v>
      </c>
      <c r="C61" s="117"/>
      <c r="D61" s="117"/>
    </row>
    <row r="62" spans="1:4">
      <c r="A62" s="128" t="s">
        <v>47</v>
      </c>
      <c r="B62" s="128"/>
      <c r="C62" s="128"/>
      <c r="D62" s="128"/>
    </row>
    <row r="63" spans="1:4" ht="15.75" customHeight="1">
      <c r="A63" s="9" t="s">
        <v>48</v>
      </c>
      <c r="B63" s="22" t="s">
        <v>84</v>
      </c>
      <c r="C63" s="118">
        <v>1.75</v>
      </c>
      <c r="D63" s="117">
        <f>C63*B8*9</f>
        <v>53819.325000000004</v>
      </c>
    </row>
    <row r="64" spans="1:4" ht="12.75" customHeight="1">
      <c r="A64" s="9" t="s">
        <v>49</v>
      </c>
      <c r="B64" s="22" t="s">
        <v>84</v>
      </c>
      <c r="C64" s="118"/>
      <c r="D64" s="117"/>
    </row>
    <row r="65" spans="1:4" ht="27.75" customHeight="1">
      <c r="A65" s="9" t="s">
        <v>50</v>
      </c>
      <c r="B65" s="22" t="s">
        <v>84</v>
      </c>
      <c r="C65" s="118"/>
      <c r="D65" s="117"/>
    </row>
    <row r="66" spans="1:4" ht="16.5" customHeight="1">
      <c r="A66" s="9" t="s">
        <v>51</v>
      </c>
      <c r="B66" s="22" t="s">
        <v>84</v>
      </c>
      <c r="C66" s="118"/>
      <c r="D66" s="117"/>
    </row>
    <row r="67" spans="1:4" ht="39.75" customHeight="1">
      <c r="A67" s="10" t="s">
        <v>52</v>
      </c>
      <c r="B67" s="22" t="s">
        <v>23</v>
      </c>
      <c r="C67" s="118"/>
      <c r="D67" s="117"/>
    </row>
    <row r="68" spans="1:4" ht="16.5" customHeight="1">
      <c r="A68" s="10" t="s">
        <v>53</v>
      </c>
      <c r="B68" s="23" t="s">
        <v>85</v>
      </c>
      <c r="C68" s="118"/>
      <c r="D68" s="117"/>
    </row>
    <row r="69" spans="1:4">
      <c r="A69" s="121" t="s">
        <v>86</v>
      </c>
      <c r="B69" s="122"/>
      <c r="C69" s="122"/>
      <c r="D69" s="123"/>
    </row>
    <row r="70" spans="1:4" ht="26.25" customHeight="1">
      <c r="A70" s="139" t="s">
        <v>97</v>
      </c>
      <c r="B70" s="141" t="s">
        <v>87</v>
      </c>
      <c r="C70" s="118">
        <v>2.41</v>
      </c>
      <c r="D70" s="117">
        <f>C70*B8*9</f>
        <v>74116.899000000005</v>
      </c>
    </row>
    <row r="71" spans="1:4" ht="13.5" customHeight="1">
      <c r="A71" s="140"/>
      <c r="B71" s="141"/>
      <c r="C71" s="118"/>
      <c r="D71" s="117"/>
    </row>
    <row r="72" spans="1:4" ht="15" customHeight="1">
      <c r="A72" s="121" t="s">
        <v>56</v>
      </c>
      <c r="B72" s="122"/>
      <c r="C72" s="122"/>
      <c r="D72" s="123"/>
    </row>
    <row r="73" spans="1:4" ht="16.5" customHeight="1">
      <c r="A73" s="6" t="s">
        <v>91</v>
      </c>
      <c r="B73" s="21" t="s">
        <v>88</v>
      </c>
      <c r="C73" s="131">
        <v>2.14</v>
      </c>
      <c r="D73" s="133">
        <v>65810.03</v>
      </c>
    </row>
    <row r="74" spans="1:4">
      <c r="A74" s="6" t="s">
        <v>92</v>
      </c>
      <c r="B74" s="21" t="s">
        <v>88</v>
      </c>
      <c r="C74" s="132"/>
      <c r="D74" s="134"/>
    </row>
    <row r="75" spans="1:4" ht="15" customHeight="1">
      <c r="A75" s="6" t="s">
        <v>93</v>
      </c>
      <c r="B75" s="21" t="s">
        <v>88</v>
      </c>
      <c r="C75" s="130"/>
      <c r="D75" s="135"/>
    </row>
    <row r="76" spans="1:4" ht="38.25" customHeight="1">
      <c r="A76" s="6" t="s">
        <v>165</v>
      </c>
      <c r="B76" s="22" t="s">
        <v>23</v>
      </c>
      <c r="C76" s="72">
        <v>4.3499999999999996</v>
      </c>
      <c r="D76" s="72">
        <v>130819.91</v>
      </c>
    </row>
    <row r="77" spans="1:4" ht="18" customHeight="1">
      <c r="A77" s="6" t="s">
        <v>212</v>
      </c>
      <c r="B77" s="22"/>
      <c r="C77" s="72"/>
      <c r="D77" s="72">
        <v>-10324.120000000001</v>
      </c>
    </row>
    <row r="78" spans="1:4">
      <c r="A78" s="75" t="s">
        <v>57</v>
      </c>
      <c r="B78" s="23"/>
      <c r="C78" s="28">
        <f>C76+C73+C70+C63+C50+C46+C39+C32+C28+C21+C18+C17+C16+C14+C13</f>
        <v>21.620970673638141</v>
      </c>
      <c r="D78" s="57">
        <f>D76+D73+D70+D63+D50+D46+D39+D32+D28+D21+D18+D17+D16+D14+D13+D77</f>
        <v>651642.179</v>
      </c>
    </row>
    <row r="80" spans="1:4">
      <c r="D80" s="42"/>
    </row>
    <row r="81" spans="4:4">
      <c r="D81" s="42"/>
    </row>
    <row r="82" spans="4:4">
      <c r="D82" s="42"/>
    </row>
    <row r="83" spans="4:4">
      <c r="D83" s="42"/>
    </row>
  </sheetData>
  <mergeCells count="31">
    <mergeCell ref="A72:D72"/>
    <mergeCell ref="C73:C75"/>
    <mergeCell ref="D73:D75"/>
    <mergeCell ref="A62:D62"/>
    <mergeCell ref="C63:C68"/>
    <mergeCell ref="D63:D68"/>
    <mergeCell ref="A69:D69"/>
    <mergeCell ref="A70:A71"/>
    <mergeCell ref="B70:B71"/>
    <mergeCell ref="C70:C71"/>
    <mergeCell ref="D70:D71"/>
    <mergeCell ref="A45:D45"/>
    <mergeCell ref="C46:C48"/>
    <mergeCell ref="D46:D48"/>
    <mergeCell ref="A49:D49"/>
    <mergeCell ref="C50:C61"/>
    <mergeCell ref="D50:D61"/>
    <mergeCell ref="C39:C44"/>
    <mergeCell ref="D39:D44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78"/>
  <sheetViews>
    <sheetView topLeftCell="A52" workbookViewId="0">
      <selection activeCell="D46" sqref="D46:D5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207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25" t="s">
        <v>59</v>
      </c>
      <c r="B4" s="2">
        <v>2011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24</v>
      </c>
      <c r="C7" s="2"/>
      <c r="D7" s="2"/>
    </row>
    <row r="8" spans="1:4">
      <c r="A8" s="25" t="s">
        <v>73</v>
      </c>
      <c r="B8" s="2">
        <v>842.7</v>
      </c>
      <c r="C8" s="2"/>
      <c r="D8" s="2"/>
    </row>
    <row r="9" spans="1:4">
      <c r="A9" s="25" t="s">
        <v>63</v>
      </c>
      <c r="B9" s="2">
        <v>191.7</v>
      </c>
      <c r="C9" s="2"/>
      <c r="D9" s="2"/>
    </row>
    <row r="10" spans="1:4">
      <c r="A10" s="25" t="s">
        <v>74</v>
      </c>
      <c r="B10" s="48" t="s">
        <v>101</v>
      </c>
      <c r="C10" s="2"/>
      <c r="D10" s="2"/>
    </row>
    <row r="11" spans="1:4" ht="36.75">
      <c r="A11" s="74" t="s">
        <v>1</v>
      </c>
      <c r="B11" s="74" t="s">
        <v>2</v>
      </c>
      <c r="C11" s="74" t="s">
        <v>3</v>
      </c>
      <c r="D11" s="74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4" t="s">
        <v>7</v>
      </c>
      <c r="C13" s="73">
        <v>0.14000000000000001</v>
      </c>
      <c r="D13" s="29">
        <f>C13*9*B8</f>
        <v>1061.8020000000004</v>
      </c>
    </row>
    <row r="14" spans="1:4" ht="75.75" customHeight="1">
      <c r="A14" s="6" t="s">
        <v>90</v>
      </c>
      <c r="B14" s="74" t="s">
        <v>9</v>
      </c>
      <c r="C14" s="26">
        <v>2.34</v>
      </c>
      <c r="D14" s="29">
        <f>C14*9*B8</f>
        <v>17747.261999999999</v>
      </c>
    </row>
    <row r="15" spans="1:4">
      <c r="A15" s="149" t="s">
        <v>11</v>
      </c>
      <c r="B15" s="150"/>
      <c r="C15" s="150"/>
      <c r="D15" s="151"/>
    </row>
    <row r="16" spans="1:4" ht="13.5" customHeight="1">
      <c r="A16" s="41" t="s">
        <v>98</v>
      </c>
      <c r="B16" s="75"/>
      <c r="C16" s="75"/>
      <c r="D16" s="75"/>
    </row>
    <row r="17" spans="1:4" ht="13.5" customHeight="1">
      <c r="A17" s="6" t="s">
        <v>12</v>
      </c>
      <c r="B17" s="74" t="s">
        <v>76</v>
      </c>
      <c r="C17" s="118">
        <v>2.16</v>
      </c>
      <c r="D17" s="125">
        <f>C17*B8*9</f>
        <v>16382.088000000002</v>
      </c>
    </row>
    <row r="18" spans="1:4" ht="12.75" customHeight="1">
      <c r="A18" s="6" t="s">
        <v>13</v>
      </c>
      <c r="B18" s="74" t="s">
        <v>76</v>
      </c>
      <c r="C18" s="118"/>
      <c r="D18" s="126"/>
    </row>
    <row r="19" spans="1:4" ht="14.25" customHeight="1">
      <c r="A19" s="6" t="s">
        <v>14</v>
      </c>
      <c r="B19" s="74" t="s">
        <v>76</v>
      </c>
      <c r="C19" s="118"/>
      <c r="D19" s="126"/>
    </row>
    <row r="20" spans="1:4" ht="13.5" customHeight="1">
      <c r="A20" s="6" t="s">
        <v>15</v>
      </c>
      <c r="B20" s="74" t="s">
        <v>77</v>
      </c>
      <c r="C20" s="118"/>
      <c r="D20" s="126"/>
    </row>
    <row r="21" spans="1:4" ht="12.75" customHeight="1">
      <c r="A21" s="41" t="s">
        <v>94</v>
      </c>
      <c r="B21" s="74"/>
      <c r="C21" s="118"/>
      <c r="D21" s="126"/>
    </row>
    <row r="22" spans="1:4" ht="30" customHeight="1">
      <c r="A22" s="6" t="s">
        <v>16</v>
      </c>
      <c r="B22" s="74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C24*B8*9</f>
        <v>1516.8600000000001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C28*B8*9</f>
        <v>4626.4230000000007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25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C35*B8*9</f>
        <v>7584.3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208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0.7</v>
      </c>
      <c r="D42" s="118">
        <f>C42*9*B8</f>
        <v>5309.01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3.82</v>
      </c>
      <c r="D46" s="117">
        <f>C46*9*B8+54.62</f>
        <v>29026.645999999997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75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81</v>
      </c>
      <c r="C53" s="117"/>
      <c r="D53" s="117"/>
    </row>
    <row r="54" spans="1:4" ht="14.25" customHeight="1">
      <c r="A54" s="9" t="s">
        <v>43</v>
      </c>
      <c r="B54" s="23" t="s">
        <v>81</v>
      </c>
      <c r="C54" s="117"/>
      <c r="D54" s="117"/>
    </row>
    <row r="55" spans="1:4" ht="13.5" customHeight="1">
      <c r="A55" s="9" t="s">
        <v>44</v>
      </c>
      <c r="B55" s="23" t="s">
        <v>81</v>
      </c>
      <c r="C55" s="117"/>
      <c r="D55" s="117"/>
    </row>
    <row r="56" spans="1:4" ht="13.5" customHeight="1">
      <c r="A56" s="9" t="s">
        <v>45</v>
      </c>
      <c r="B56" s="21" t="s">
        <v>198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1.75</v>
      </c>
      <c r="D59" s="117">
        <f>C59*B8*9</f>
        <v>13272.525000000001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24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C66*B8*9</f>
        <v>18278.163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16238.07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72">
        <v>4.3499999999999996</v>
      </c>
      <c r="D72" s="72">
        <v>33007.769999999997</v>
      </c>
    </row>
    <row r="73" spans="1:4">
      <c r="A73" s="75" t="s">
        <v>57</v>
      </c>
      <c r="B73" s="23"/>
      <c r="C73" s="28">
        <f>C72+C69+C66+C59+C46+C42+C35+C28+C24+C17+C14+C13</f>
        <v>21.62</v>
      </c>
      <c r="D73" s="57">
        <f>D72+D69+D66+D59+D46+D42+D35+D28+D24+D17+D14+D13</f>
        <v>164050.91899999997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A41:D41"/>
    <mergeCell ref="C42:C44"/>
    <mergeCell ref="D42:D44"/>
    <mergeCell ref="A45:D45"/>
    <mergeCell ref="C46:C57"/>
    <mergeCell ref="D46:D57"/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83"/>
  <sheetViews>
    <sheetView topLeftCell="A52" workbookViewId="0">
      <selection activeCell="A5" sqref="A5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202</v>
      </c>
      <c r="B2" s="2"/>
      <c r="C2" s="2"/>
      <c r="D2" s="2"/>
    </row>
    <row r="3" spans="1:4">
      <c r="A3" s="1" t="s">
        <v>203</v>
      </c>
      <c r="B3" s="2"/>
      <c r="C3" s="2"/>
      <c r="D3" s="2"/>
    </row>
    <row r="4" spans="1:4">
      <c r="A4" s="25" t="s">
        <v>59</v>
      </c>
      <c r="B4" s="2">
        <v>1989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60</v>
      </c>
      <c r="C7" s="2"/>
      <c r="D7" s="2"/>
    </row>
    <row r="8" spans="1:4">
      <c r="A8" s="25" t="s">
        <v>73</v>
      </c>
      <c r="B8" s="2">
        <v>2825.2</v>
      </c>
      <c r="C8" s="2"/>
      <c r="D8" s="2"/>
    </row>
    <row r="9" spans="1:4">
      <c r="A9" s="25" t="s">
        <v>63</v>
      </c>
      <c r="B9" s="2">
        <v>251.6</v>
      </c>
      <c r="C9" s="2"/>
      <c r="D9" s="2"/>
    </row>
    <row r="10" spans="1:4">
      <c r="A10" s="25" t="s">
        <v>74</v>
      </c>
      <c r="B10" s="48">
        <v>594.4</v>
      </c>
      <c r="C10" s="2"/>
      <c r="D10" s="2"/>
    </row>
    <row r="11" spans="1:4" ht="36.75">
      <c r="A11" s="74" t="s">
        <v>1</v>
      </c>
      <c r="B11" s="74" t="s">
        <v>2</v>
      </c>
      <c r="C11" s="74" t="s">
        <v>3</v>
      </c>
      <c r="D11" s="74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4" t="s">
        <v>7</v>
      </c>
      <c r="C13" s="73">
        <v>0.14000000000000001</v>
      </c>
      <c r="D13" s="29">
        <f>C13*9*B8</f>
        <v>3559.7520000000004</v>
      </c>
    </row>
    <row r="14" spans="1:4" ht="75.75" customHeight="1">
      <c r="A14" s="6" t="s">
        <v>90</v>
      </c>
      <c r="B14" s="74" t="s">
        <v>9</v>
      </c>
      <c r="C14" s="26">
        <v>2.4900000000000002</v>
      </c>
      <c r="D14" s="29">
        <f>C14*9*B8</f>
        <v>63312.732000000004</v>
      </c>
    </row>
    <row r="15" spans="1:4">
      <c r="A15" s="6" t="s">
        <v>10</v>
      </c>
      <c r="B15" s="74"/>
      <c r="C15" s="26"/>
      <c r="D15" s="30"/>
    </row>
    <row r="16" spans="1:4">
      <c r="A16" s="6" t="s">
        <v>10</v>
      </c>
      <c r="B16" s="74"/>
      <c r="C16" s="26"/>
      <c r="D16" s="30"/>
    </row>
    <row r="17" spans="1:4">
      <c r="A17" s="6" t="s">
        <v>204</v>
      </c>
      <c r="B17" s="79" t="s">
        <v>25</v>
      </c>
      <c r="C17" s="46">
        <f>24*1200/9/B8</f>
        <v>1.132663174288546</v>
      </c>
      <c r="D17" s="30">
        <f>C17*9*B8</f>
        <v>28799.999999999996</v>
      </c>
    </row>
    <row r="18" spans="1:4">
      <c r="A18" s="6" t="s">
        <v>205</v>
      </c>
      <c r="B18" s="79" t="s">
        <v>81</v>
      </c>
      <c r="C18" s="46">
        <v>1.87</v>
      </c>
      <c r="D18" s="30">
        <f>C18*9*B8</f>
        <v>47548.116000000002</v>
      </c>
    </row>
    <row r="19" spans="1:4">
      <c r="A19" s="149" t="s">
        <v>11</v>
      </c>
      <c r="B19" s="150"/>
      <c r="C19" s="150"/>
      <c r="D19" s="151"/>
    </row>
    <row r="20" spans="1:4" ht="13.5" customHeight="1">
      <c r="A20" s="41" t="s">
        <v>98</v>
      </c>
      <c r="B20" s="75"/>
      <c r="C20" s="75"/>
      <c r="D20" s="75"/>
    </row>
    <row r="21" spans="1:4" ht="13.5" customHeight="1">
      <c r="A21" s="6" t="s">
        <v>12</v>
      </c>
      <c r="B21" s="74" t="s">
        <v>76</v>
      </c>
      <c r="C21" s="118">
        <v>2.16</v>
      </c>
      <c r="D21" s="125">
        <f>C21*B8*9</f>
        <v>54921.887999999999</v>
      </c>
    </row>
    <row r="22" spans="1:4" ht="12.75" customHeight="1">
      <c r="A22" s="6" t="s">
        <v>13</v>
      </c>
      <c r="B22" s="74" t="s">
        <v>76</v>
      </c>
      <c r="C22" s="118"/>
      <c r="D22" s="126"/>
    </row>
    <row r="23" spans="1:4" ht="14.25" customHeight="1">
      <c r="A23" s="6" t="s">
        <v>14</v>
      </c>
      <c r="B23" s="74" t="s">
        <v>76</v>
      </c>
      <c r="C23" s="118"/>
      <c r="D23" s="126"/>
    </row>
    <row r="24" spans="1:4" ht="13.5" customHeight="1">
      <c r="A24" s="6" t="s">
        <v>15</v>
      </c>
      <c r="B24" s="74" t="s">
        <v>77</v>
      </c>
      <c r="C24" s="118"/>
      <c r="D24" s="126"/>
    </row>
    <row r="25" spans="1:4" ht="12.75" customHeight="1">
      <c r="A25" s="41" t="s">
        <v>94</v>
      </c>
      <c r="B25" s="74"/>
      <c r="C25" s="118"/>
      <c r="D25" s="126"/>
    </row>
    <row r="26" spans="1:4" ht="30" customHeight="1">
      <c r="A26" s="6" t="s">
        <v>16</v>
      </c>
      <c r="B26" s="74" t="s">
        <v>95</v>
      </c>
      <c r="C26" s="118"/>
      <c r="D26" s="127"/>
    </row>
    <row r="27" spans="1:4" ht="12.75" customHeight="1">
      <c r="A27" s="121" t="s">
        <v>17</v>
      </c>
      <c r="B27" s="122"/>
      <c r="C27" s="122"/>
      <c r="D27" s="123"/>
    </row>
    <row r="28" spans="1:4" ht="12" customHeight="1">
      <c r="A28" s="7" t="s">
        <v>18</v>
      </c>
      <c r="B28" s="21" t="s">
        <v>79</v>
      </c>
      <c r="C28" s="118">
        <v>0.2</v>
      </c>
      <c r="D28" s="128">
        <f>C28*B8*9</f>
        <v>5085.3599999999997</v>
      </c>
    </row>
    <row r="29" spans="1:4" ht="12" customHeight="1">
      <c r="A29" s="7" t="s">
        <v>19</v>
      </c>
      <c r="B29" s="21" t="s">
        <v>78</v>
      </c>
      <c r="C29" s="118"/>
      <c r="D29" s="128"/>
    </row>
    <row r="30" spans="1:4" ht="13.5" customHeight="1">
      <c r="A30" s="121" t="s">
        <v>20</v>
      </c>
      <c r="B30" s="122"/>
      <c r="C30" s="122"/>
      <c r="D30" s="123"/>
    </row>
    <row r="31" spans="1:4">
      <c r="A31" s="128" t="s">
        <v>21</v>
      </c>
      <c r="B31" s="128"/>
      <c r="C31" s="128"/>
      <c r="D31" s="128"/>
    </row>
    <row r="32" spans="1:4" ht="37.5" customHeight="1">
      <c r="A32" s="8" t="s">
        <v>22</v>
      </c>
      <c r="B32" s="22" t="s">
        <v>80</v>
      </c>
      <c r="C32" s="118">
        <v>0.41</v>
      </c>
      <c r="D32" s="117">
        <f>C32*B8*9</f>
        <v>10424.987999999999</v>
      </c>
    </row>
    <row r="33" spans="1:4" ht="15" customHeight="1">
      <c r="A33" s="9" t="s">
        <v>24</v>
      </c>
      <c r="B33" s="23" t="s">
        <v>81</v>
      </c>
      <c r="C33" s="118"/>
      <c r="D33" s="126"/>
    </row>
    <row r="34" spans="1:4" ht="13.5" customHeight="1">
      <c r="A34" s="9" t="s">
        <v>26</v>
      </c>
      <c r="B34" s="23" t="s">
        <v>81</v>
      </c>
      <c r="C34" s="118"/>
      <c r="D34" s="126"/>
    </row>
    <row r="35" spans="1:4" ht="36" customHeight="1">
      <c r="A35" s="9" t="s">
        <v>27</v>
      </c>
      <c r="B35" s="22" t="s">
        <v>23</v>
      </c>
      <c r="C35" s="118"/>
      <c r="D35" s="126"/>
    </row>
    <row r="36" spans="1:4" ht="14.25" customHeight="1">
      <c r="A36" s="9" t="s">
        <v>28</v>
      </c>
      <c r="B36" s="22" t="s">
        <v>25</v>
      </c>
      <c r="C36" s="118"/>
      <c r="D36" s="126"/>
    </row>
    <row r="37" spans="1:4" ht="33.75" customHeight="1">
      <c r="A37" s="24" t="s">
        <v>29</v>
      </c>
      <c r="B37" s="22" t="s">
        <v>23</v>
      </c>
      <c r="C37" s="129"/>
      <c r="D37" s="127"/>
    </row>
    <row r="38" spans="1:4" ht="15.75" customHeight="1">
      <c r="A38" s="128" t="s">
        <v>66</v>
      </c>
      <c r="B38" s="128"/>
      <c r="C38" s="128"/>
      <c r="D38" s="128"/>
    </row>
    <row r="39" spans="1:4" ht="36.75" customHeight="1">
      <c r="A39" s="9" t="s">
        <v>67</v>
      </c>
      <c r="B39" s="22" t="s">
        <v>80</v>
      </c>
      <c r="C39" s="117">
        <v>0.93</v>
      </c>
      <c r="D39" s="118">
        <f>C39*B8*9</f>
        <v>23646.924000000003</v>
      </c>
    </row>
    <row r="40" spans="1:4" ht="14.25" customHeight="1">
      <c r="A40" s="9" t="s">
        <v>68</v>
      </c>
      <c r="B40" s="22" t="s">
        <v>81</v>
      </c>
      <c r="C40" s="117"/>
      <c r="D40" s="119"/>
    </row>
    <row r="41" spans="1:4" ht="14.25" customHeight="1">
      <c r="A41" s="9" t="s">
        <v>69</v>
      </c>
      <c r="B41" s="22" t="s">
        <v>81</v>
      </c>
      <c r="C41" s="117"/>
      <c r="D41" s="119"/>
    </row>
    <row r="42" spans="1:4" ht="24" customHeight="1">
      <c r="A42" s="9" t="s">
        <v>70</v>
      </c>
      <c r="B42" s="22" t="s">
        <v>80</v>
      </c>
      <c r="C42" s="117"/>
      <c r="D42" s="119"/>
    </row>
    <row r="43" spans="1:4" ht="25.5" customHeight="1">
      <c r="A43" s="10" t="s">
        <v>71</v>
      </c>
      <c r="B43" s="22" t="s">
        <v>80</v>
      </c>
      <c r="C43" s="117"/>
      <c r="D43" s="119"/>
    </row>
    <row r="44" spans="1:4" ht="14.25" customHeight="1">
      <c r="A44" s="9" t="s">
        <v>72</v>
      </c>
      <c r="B44" s="22" t="s">
        <v>25</v>
      </c>
      <c r="C44" s="117"/>
      <c r="D44" s="120"/>
    </row>
    <row r="45" spans="1:4" ht="11.25" customHeight="1">
      <c r="A45" s="130" t="s">
        <v>30</v>
      </c>
      <c r="B45" s="130"/>
      <c r="C45" s="130"/>
      <c r="D45" s="130"/>
    </row>
    <row r="46" spans="1:4" ht="35.25" customHeight="1">
      <c r="A46" s="9" t="s">
        <v>31</v>
      </c>
      <c r="B46" s="22" t="s">
        <v>23</v>
      </c>
      <c r="C46" s="117">
        <v>0.7</v>
      </c>
      <c r="D46" s="118">
        <f>C46*9*B8</f>
        <v>17798.759999999998</v>
      </c>
    </row>
    <row r="47" spans="1:4" ht="38.25" customHeight="1">
      <c r="A47" s="9" t="s">
        <v>32</v>
      </c>
      <c r="B47" s="22" t="s">
        <v>23</v>
      </c>
      <c r="C47" s="117"/>
      <c r="D47" s="118"/>
    </row>
    <row r="48" spans="1:4" ht="15" customHeight="1">
      <c r="A48" s="10" t="s">
        <v>33</v>
      </c>
      <c r="B48" s="22" t="s">
        <v>23</v>
      </c>
      <c r="C48" s="117"/>
      <c r="D48" s="118"/>
    </row>
    <row r="49" spans="1:4" ht="12.75" customHeight="1">
      <c r="A49" s="128" t="s">
        <v>34</v>
      </c>
      <c r="B49" s="128"/>
      <c r="C49" s="128"/>
      <c r="D49" s="128"/>
    </row>
    <row r="50" spans="1:4" ht="29.25" customHeight="1">
      <c r="A50" s="9" t="s">
        <v>35</v>
      </c>
      <c r="B50" s="22" t="s">
        <v>78</v>
      </c>
      <c r="C50" s="117">
        <v>2.2400000000000002</v>
      </c>
      <c r="D50" s="117">
        <f>C50*9*B8</f>
        <v>56956.032000000007</v>
      </c>
    </row>
    <row r="51" spans="1:4" ht="14.25" customHeight="1">
      <c r="A51" s="9" t="s">
        <v>36</v>
      </c>
      <c r="B51" s="22" t="s">
        <v>82</v>
      </c>
      <c r="C51" s="117"/>
      <c r="D51" s="117"/>
    </row>
    <row r="52" spans="1:4" ht="17.25" customHeight="1">
      <c r="A52" s="9" t="s">
        <v>37</v>
      </c>
      <c r="B52" s="22" t="s">
        <v>82</v>
      </c>
      <c r="C52" s="117"/>
      <c r="D52" s="117"/>
    </row>
    <row r="53" spans="1:4" ht="24.75" customHeight="1">
      <c r="A53" s="9" t="s">
        <v>38</v>
      </c>
      <c r="B53" s="22" t="s">
        <v>83</v>
      </c>
      <c r="C53" s="117"/>
      <c r="D53" s="117"/>
    </row>
    <row r="54" spans="1:4" ht="30" customHeight="1">
      <c r="A54" s="9" t="s">
        <v>39</v>
      </c>
      <c r="B54" s="22" t="s">
        <v>83</v>
      </c>
      <c r="C54" s="117"/>
      <c r="D54" s="117"/>
    </row>
    <row r="55" spans="1:4" ht="12.75" customHeight="1">
      <c r="A55" s="75" t="s">
        <v>96</v>
      </c>
      <c r="B55" s="6"/>
      <c r="C55" s="117"/>
      <c r="D55" s="117"/>
    </row>
    <row r="56" spans="1:4" ht="35.25" customHeight="1">
      <c r="A56" s="9" t="s">
        <v>41</v>
      </c>
      <c r="B56" s="22" t="s">
        <v>80</v>
      </c>
      <c r="C56" s="117"/>
      <c r="D56" s="117"/>
    </row>
    <row r="57" spans="1:4" ht="14.25" customHeight="1">
      <c r="A57" s="9" t="s">
        <v>42</v>
      </c>
      <c r="B57" s="22" t="s">
        <v>81</v>
      </c>
      <c r="C57" s="117"/>
      <c r="D57" s="117"/>
    </row>
    <row r="58" spans="1:4" ht="14.25" customHeight="1">
      <c r="A58" s="9" t="s">
        <v>43</v>
      </c>
      <c r="B58" s="23" t="s">
        <v>81</v>
      </c>
      <c r="C58" s="117"/>
      <c r="D58" s="117"/>
    </row>
    <row r="59" spans="1:4" ht="13.5" customHeight="1">
      <c r="A59" s="9" t="s">
        <v>44</v>
      </c>
      <c r="B59" s="23" t="s">
        <v>81</v>
      </c>
      <c r="C59" s="117"/>
      <c r="D59" s="117"/>
    </row>
    <row r="60" spans="1:4" ht="13.5" customHeight="1">
      <c r="A60" s="9" t="s">
        <v>45</v>
      </c>
      <c r="B60" s="21" t="s">
        <v>244</v>
      </c>
      <c r="C60" s="117"/>
      <c r="D60" s="117"/>
    </row>
    <row r="61" spans="1:4" ht="36.75" customHeight="1">
      <c r="A61" s="10" t="s">
        <v>46</v>
      </c>
      <c r="B61" s="22" t="s">
        <v>23</v>
      </c>
      <c r="C61" s="117"/>
      <c r="D61" s="117"/>
    </row>
    <row r="62" spans="1:4">
      <c r="A62" s="128" t="s">
        <v>47</v>
      </c>
      <c r="B62" s="128"/>
      <c r="C62" s="128"/>
      <c r="D62" s="128"/>
    </row>
    <row r="63" spans="1:4" ht="15.75" customHeight="1">
      <c r="A63" s="9" t="s">
        <v>48</v>
      </c>
      <c r="B63" s="22" t="s">
        <v>84</v>
      </c>
      <c r="C63" s="118">
        <v>0.45</v>
      </c>
      <c r="D63" s="117">
        <f>C63*B8*9</f>
        <v>11442.06</v>
      </c>
    </row>
    <row r="64" spans="1:4" ht="12.75" customHeight="1">
      <c r="A64" s="9" t="s">
        <v>49</v>
      </c>
      <c r="B64" s="22" t="s">
        <v>84</v>
      </c>
      <c r="C64" s="118"/>
      <c r="D64" s="117"/>
    </row>
    <row r="65" spans="1:4" ht="30.75" customHeight="1">
      <c r="A65" s="9" t="s">
        <v>50</v>
      </c>
      <c r="B65" s="22" t="s">
        <v>84</v>
      </c>
      <c r="C65" s="118"/>
      <c r="D65" s="117"/>
    </row>
    <row r="66" spans="1:4" ht="16.5" customHeight="1">
      <c r="A66" s="9" t="s">
        <v>51</v>
      </c>
      <c r="B66" s="22" t="s">
        <v>84</v>
      </c>
      <c r="C66" s="118"/>
      <c r="D66" s="117"/>
    </row>
    <row r="67" spans="1:4" ht="39.75" customHeight="1">
      <c r="A67" s="10" t="s">
        <v>52</v>
      </c>
      <c r="B67" s="22" t="s">
        <v>23</v>
      </c>
      <c r="C67" s="118"/>
      <c r="D67" s="117"/>
    </row>
    <row r="68" spans="1:4" ht="16.5" customHeight="1">
      <c r="A68" s="10" t="s">
        <v>53</v>
      </c>
      <c r="B68" s="23" t="s">
        <v>85</v>
      </c>
      <c r="C68" s="118"/>
      <c r="D68" s="117"/>
    </row>
    <row r="69" spans="1:4">
      <c r="A69" s="121" t="s">
        <v>86</v>
      </c>
      <c r="B69" s="122"/>
      <c r="C69" s="122"/>
      <c r="D69" s="123"/>
    </row>
    <row r="70" spans="1:4" ht="26.25" customHeight="1">
      <c r="A70" s="139" t="s">
        <v>97</v>
      </c>
      <c r="B70" s="141" t="s">
        <v>87</v>
      </c>
      <c r="C70" s="118">
        <v>2.41</v>
      </c>
      <c r="D70" s="117">
        <f>C70*B8*9</f>
        <v>61278.588000000003</v>
      </c>
    </row>
    <row r="71" spans="1:4" ht="13.5" customHeight="1">
      <c r="A71" s="140"/>
      <c r="B71" s="141"/>
      <c r="C71" s="118"/>
      <c r="D71" s="117"/>
    </row>
    <row r="72" spans="1:4" ht="15" customHeight="1">
      <c r="A72" s="121" t="s">
        <v>56</v>
      </c>
      <c r="B72" s="122"/>
      <c r="C72" s="122"/>
      <c r="D72" s="123"/>
    </row>
    <row r="73" spans="1:4" ht="16.5" customHeight="1">
      <c r="A73" s="6" t="s">
        <v>91</v>
      </c>
      <c r="B73" s="21" t="s">
        <v>88</v>
      </c>
      <c r="C73" s="131">
        <v>2.14</v>
      </c>
      <c r="D73" s="133">
        <v>54413.91</v>
      </c>
    </row>
    <row r="74" spans="1:4">
      <c r="A74" s="6" t="s">
        <v>92</v>
      </c>
      <c r="B74" s="21" t="s">
        <v>88</v>
      </c>
      <c r="C74" s="132"/>
      <c r="D74" s="134"/>
    </row>
    <row r="75" spans="1:4" ht="15" customHeight="1">
      <c r="A75" s="6" t="s">
        <v>93</v>
      </c>
      <c r="B75" s="21" t="s">
        <v>88</v>
      </c>
      <c r="C75" s="130"/>
      <c r="D75" s="135"/>
    </row>
    <row r="76" spans="1:4" ht="38.25" customHeight="1">
      <c r="A76" s="6" t="s">
        <v>165</v>
      </c>
      <c r="B76" s="22" t="s">
        <v>23</v>
      </c>
      <c r="C76" s="72">
        <v>4.3499999999999996</v>
      </c>
      <c r="D76" s="72">
        <v>108736.29</v>
      </c>
    </row>
    <row r="77" spans="1:4" ht="18" customHeight="1">
      <c r="A77" s="6" t="s">
        <v>243</v>
      </c>
      <c r="B77" s="22"/>
      <c r="C77" s="72"/>
      <c r="D77" s="72">
        <v>-6576.03</v>
      </c>
    </row>
    <row r="78" spans="1:4">
      <c r="A78" s="75" t="s">
        <v>57</v>
      </c>
      <c r="B78" s="23"/>
      <c r="C78" s="28">
        <f>C76+C73+C70+C63+C50+C46+C39+C32+C28+C21+C18+C17+C14+C13</f>
        <v>21.622663174288547</v>
      </c>
      <c r="D78" s="57">
        <f>D76+D77+D73+D70+D63+D50+D46+D39+D32+D28+D21+D18+D17+D14+D13</f>
        <v>541349.36999999988</v>
      </c>
    </row>
    <row r="80" spans="1:4">
      <c r="D80" s="42">
        <v>378199.17</v>
      </c>
    </row>
    <row r="81" spans="4:4">
      <c r="D81" s="42">
        <f>D80+D76+D73</f>
        <v>541349.37</v>
      </c>
    </row>
    <row r="82" spans="4:4">
      <c r="D82" s="42">
        <f>D81-D78</f>
        <v>0</v>
      </c>
    </row>
    <row r="83" spans="4:4">
      <c r="D83" s="42"/>
    </row>
  </sheetData>
  <mergeCells count="31">
    <mergeCell ref="A72:D72"/>
    <mergeCell ref="C73:C75"/>
    <mergeCell ref="D73:D75"/>
    <mergeCell ref="A62:D62"/>
    <mergeCell ref="C63:C68"/>
    <mergeCell ref="D63:D68"/>
    <mergeCell ref="A69:D69"/>
    <mergeCell ref="A70:A71"/>
    <mergeCell ref="B70:B71"/>
    <mergeCell ref="C70:C71"/>
    <mergeCell ref="D70:D71"/>
    <mergeCell ref="A45:D45"/>
    <mergeCell ref="C46:C48"/>
    <mergeCell ref="D46:D48"/>
    <mergeCell ref="A49:D49"/>
    <mergeCell ref="C50:C61"/>
    <mergeCell ref="D50:D61"/>
    <mergeCell ref="C39:C44"/>
    <mergeCell ref="D39:D44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82"/>
  <sheetViews>
    <sheetView topLeftCell="A61" workbookViewId="0">
      <selection activeCell="E66" sqref="E66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196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25" t="s">
        <v>59</v>
      </c>
      <c r="B4" s="2">
        <v>1987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1725</v>
      </c>
      <c r="C8" s="2"/>
      <c r="D8" s="2"/>
    </row>
    <row r="9" spans="1:4">
      <c r="A9" s="25" t="s">
        <v>63</v>
      </c>
      <c r="B9" s="2">
        <v>170</v>
      </c>
      <c r="C9" s="2"/>
      <c r="D9" s="2"/>
    </row>
    <row r="10" spans="1:4">
      <c r="A10" s="25" t="s">
        <v>74</v>
      </c>
      <c r="B10" s="43">
        <v>447.8</v>
      </c>
      <c r="C10" s="2"/>
      <c r="D10" s="2"/>
    </row>
    <row r="11" spans="1:4" ht="36.75">
      <c r="A11" s="74" t="s">
        <v>1</v>
      </c>
      <c r="B11" s="74" t="s">
        <v>2</v>
      </c>
      <c r="C11" s="74" t="s">
        <v>3</v>
      </c>
      <c r="D11" s="74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4" t="s">
        <v>7</v>
      </c>
      <c r="C13" s="73">
        <v>0.13</v>
      </c>
      <c r="D13" s="29">
        <f>C13*9*B8</f>
        <v>2018.2499999999998</v>
      </c>
    </row>
    <row r="14" spans="1:4" ht="75.75" customHeight="1">
      <c r="A14" s="6" t="s">
        <v>90</v>
      </c>
      <c r="B14" s="74" t="s">
        <v>9</v>
      </c>
      <c r="C14" s="26">
        <v>2.79</v>
      </c>
      <c r="D14" s="29">
        <f>C14*9*B8</f>
        <v>43314.75</v>
      </c>
    </row>
    <row r="15" spans="1:4">
      <c r="A15" s="6" t="s">
        <v>10</v>
      </c>
      <c r="B15" s="74"/>
      <c r="C15" s="26"/>
      <c r="D15" s="30"/>
    </row>
    <row r="16" spans="1:4">
      <c r="A16" s="6" t="s">
        <v>199</v>
      </c>
      <c r="B16" s="74" t="s">
        <v>108</v>
      </c>
      <c r="C16" s="46">
        <v>0.25</v>
      </c>
      <c r="D16" s="30">
        <f>C16*9*B8</f>
        <v>3881.25</v>
      </c>
    </row>
    <row r="17" spans="1:4">
      <c r="A17" s="6" t="s">
        <v>200</v>
      </c>
      <c r="B17" s="74" t="s">
        <v>89</v>
      </c>
      <c r="C17" s="46">
        <v>1.24</v>
      </c>
      <c r="D17" s="30">
        <f>C17*9*B8</f>
        <v>19251</v>
      </c>
    </row>
    <row r="18" spans="1:4">
      <c r="A18" s="124" t="s">
        <v>11</v>
      </c>
      <c r="B18" s="124"/>
      <c r="C18" s="124"/>
      <c r="D18" s="124"/>
    </row>
    <row r="19" spans="1:4" ht="13.5" customHeight="1">
      <c r="A19" s="41" t="s">
        <v>98</v>
      </c>
      <c r="B19" s="75"/>
      <c r="C19" s="75"/>
      <c r="D19" s="75"/>
    </row>
    <row r="20" spans="1:4" ht="13.5" customHeight="1">
      <c r="A20" s="6" t="s">
        <v>12</v>
      </c>
      <c r="B20" s="74" t="s">
        <v>76</v>
      </c>
      <c r="C20" s="118">
        <v>2.16</v>
      </c>
      <c r="D20" s="125">
        <f>C20*B8*9</f>
        <v>33534.000000000007</v>
      </c>
    </row>
    <row r="21" spans="1:4" ht="12.75" customHeight="1">
      <c r="A21" s="6" t="s">
        <v>13</v>
      </c>
      <c r="B21" s="74" t="s">
        <v>76</v>
      </c>
      <c r="C21" s="118"/>
      <c r="D21" s="126"/>
    </row>
    <row r="22" spans="1:4" ht="14.25" customHeight="1">
      <c r="A22" s="6" t="s">
        <v>14</v>
      </c>
      <c r="B22" s="74" t="s">
        <v>76</v>
      </c>
      <c r="C22" s="118"/>
      <c r="D22" s="126"/>
    </row>
    <row r="23" spans="1:4" ht="13.5" customHeight="1">
      <c r="A23" s="6" t="s">
        <v>15</v>
      </c>
      <c r="B23" s="74" t="s">
        <v>77</v>
      </c>
      <c r="C23" s="118"/>
      <c r="D23" s="126"/>
    </row>
    <row r="24" spans="1:4" ht="12.75" customHeight="1">
      <c r="A24" s="41" t="s">
        <v>94</v>
      </c>
      <c r="B24" s="74"/>
      <c r="C24" s="118"/>
      <c r="D24" s="126"/>
    </row>
    <row r="25" spans="1:4" ht="30" customHeight="1">
      <c r="A25" s="6" t="s">
        <v>16</v>
      </c>
      <c r="B25" s="74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C27*B8*9</f>
        <v>3105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0.61</v>
      </c>
      <c r="D31" s="117">
        <f>C31*B8*9</f>
        <v>9470.25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1</v>
      </c>
      <c r="D38" s="118">
        <f>C38*B8*9</f>
        <v>15525</v>
      </c>
    </row>
    <row r="39" spans="1:4" ht="14.25" customHeight="1">
      <c r="A39" s="9" t="s">
        <v>68</v>
      </c>
      <c r="B39" s="22" t="s">
        <v>81</v>
      </c>
      <c r="C39" s="117"/>
      <c r="D39" s="119"/>
    </row>
    <row r="40" spans="1:4" ht="14.25" customHeight="1">
      <c r="A40" s="9" t="s">
        <v>69</v>
      </c>
      <c r="B40" s="22" t="s">
        <v>81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25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0.7</v>
      </c>
      <c r="D45" s="118">
        <f>C45*9*B8</f>
        <v>10867.5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2.89</v>
      </c>
      <c r="D49" s="117">
        <f>C49*9*B8</f>
        <v>44867.25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75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81</v>
      </c>
      <c r="C56" s="117"/>
      <c r="D56" s="117"/>
    </row>
    <row r="57" spans="1:4" ht="14.25" customHeight="1">
      <c r="A57" s="9" t="s">
        <v>43</v>
      </c>
      <c r="B57" s="23" t="s">
        <v>81</v>
      </c>
      <c r="C57" s="117"/>
      <c r="D57" s="117"/>
    </row>
    <row r="58" spans="1:4" ht="13.5" customHeight="1">
      <c r="A58" s="9" t="s">
        <v>44</v>
      </c>
      <c r="B58" s="23" t="s">
        <v>81</v>
      </c>
      <c r="C58" s="117"/>
      <c r="D58" s="117"/>
    </row>
    <row r="59" spans="1:4" ht="13.5" customHeight="1">
      <c r="A59" s="9" t="s">
        <v>45</v>
      </c>
      <c r="B59" s="21" t="s">
        <v>198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>
      <c r="A61" s="128" t="s">
        <v>47</v>
      </c>
      <c r="B61" s="128"/>
      <c r="C61" s="128"/>
      <c r="D61" s="128"/>
    </row>
    <row r="62" spans="1:4" ht="15.75" customHeight="1">
      <c r="A62" s="9" t="s">
        <v>48</v>
      </c>
      <c r="B62" s="22" t="s">
        <v>84</v>
      </c>
      <c r="C62" s="118">
        <v>0.75</v>
      </c>
      <c r="D62" s="117">
        <f>C62*B8*9</f>
        <v>11643.75</v>
      </c>
    </row>
    <row r="63" spans="1:4" ht="12.75" customHeight="1">
      <c r="A63" s="9" t="s">
        <v>49</v>
      </c>
      <c r="B63" s="22" t="s">
        <v>84</v>
      </c>
      <c r="C63" s="118"/>
      <c r="D63" s="117"/>
    </row>
    <row r="64" spans="1:4" ht="25.5" customHeight="1">
      <c r="A64" s="9" t="s">
        <v>50</v>
      </c>
      <c r="B64" s="22" t="s">
        <v>84</v>
      </c>
      <c r="C64" s="118"/>
      <c r="D64" s="117"/>
    </row>
    <row r="65" spans="1:4" ht="16.5" customHeight="1">
      <c r="A65" s="9" t="s">
        <v>51</v>
      </c>
      <c r="B65" s="22" t="s">
        <v>84</v>
      </c>
      <c r="C65" s="118"/>
      <c r="D65" s="117"/>
    </row>
    <row r="66" spans="1:4" ht="39.75" customHeight="1">
      <c r="A66" s="10" t="s">
        <v>52</v>
      </c>
      <c r="B66" s="22" t="s">
        <v>23</v>
      </c>
      <c r="C66" s="118"/>
      <c r="D66" s="117"/>
    </row>
    <row r="67" spans="1:4" ht="16.5" customHeight="1">
      <c r="A67" s="10" t="s">
        <v>53</v>
      </c>
      <c r="B67" s="23" t="s">
        <v>85</v>
      </c>
      <c r="C67" s="118"/>
      <c r="D67" s="117"/>
    </row>
    <row r="68" spans="1:4">
      <c r="A68" s="121" t="s">
        <v>86</v>
      </c>
      <c r="B68" s="122"/>
      <c r="C68" s="122"/>
      <c r="D68" s="123"/>
    </row>
    <row r="69" spans="1:4" ht="26.25" customHeight="1">
      <c r="A69" s="139" t="s">
        <v>97</v>
      </c>
      <c r="B69" s="141" t="s">
        <v>87</v>
      </c>
      <c r="C69" s="118">
        <v>2.41</v>
      </c>
      <c r="D69" s="117">
        <f>C69*B8*9</f>
        <v>37415.25</v>
      </c>
    </row>
    <row r="70" spans="1:4" ht="13.5" customHeight="1">
      <c r="A70" s="140"/>
      <c r="B70" s="141"/>
      <c r="C70" s="118"/>
      <c r="D70" s="117"/>
    </row>
    <row r="71" spans="1:4" ht="15" customHeight="1">
      <c r="A71" s="121" t="s">
        <v>56</v>
      </c>
      <c r="B71" s="122"/>
      <c r="C71" s="122"/>
      <c r="D71" s="123"/>
    </row>
    <row r="72" spans="1:4" ht="16.5" customHeight="1">
      <c r="A72" s="6" t="s">
        <v>91</v>
      </c>
      <c r="B72" s="21" t="s">
        <v>88</v>
      </c>
      <c r="C72" s="131">
        <v>2.14</v>
      </c>
      <c r="D72" s="133">
        <v>33215.160000000003</v>
      </c>
    </row>
    <row r="73" spans="1:4">
      <c r="A73" s="6" t="s">
        <v>92</v>
      </c>
      <c r="B73" s="21" t="s">
        <v>88</v>
      </c>
      <c r="C73" s="132"/>
      <c r="D73" s="134"/>
    </row>
    <row r="74" spans="1:4" ht="15" customHeight="1">
      <c r="A74" s="6" t="s">
        <v>93</v>
      </c>
      <c r="B74" s="21" t="s">
        <v>88</v>
      </c>
      <c r="C74" s="130"/>
      <c r="D74" s="135"/>
    </row>
    <row r="75" spans="1:4" ht="38.25" customHeight="1">
      <c r="A75" s="6" t="s">
        <v>165</v>
      </c>
      <c r="B75" s="22" t="s">
        <v>23</v>
      </c>
      <c r="C75" s="72">
        <v>4.3499999999999996</v>
      </c>
      <c r="D75" s="72">
        <v>65227.34</v>
      </c>
    </row>
    <row r="76" spans="1:4" ht="18" customHeight="1">
      <c r="A76" s="6" t="s">
        <v>201</v>
      </c>
      <c r="B76" s="22"/>
      <c r="C76" s="72"/>
      <c r="D76" s="72">
        <v>-8024.68</v>
      </c>
    </row>
    <row r="77" spans="1:4">
      <c r="A77" s="75" t="s">
        <v>57</v>
      </c>
      <c r="B77" s="23"/>
      <c r="C77" s="28">
        <f>C75+C72+C69+C62+C49+C45+C38+C31+C27+C20+C17+C16+C14+C13</f>
        <v>21.619999999999997</v>
      </c>
      <c r="D77" s="57">
        <f>D75+D76+D72+D69+D62+D49+D45+D38+D31+D27+D20+D17+D16+D14+D13</f>
        <v>325311.07</v>
      </c>
    </row>
    <row r="79" spans="1:4">
      <c r="D79" s="42">
        <f>226868.57</f>
        <v>226868.57</v>
      </c>
    </row>
    <row r="80" spans="1:4">
      <c r="D80" s="42"/>
    </row>
    <row r="81" spans="4:4">
      <c r="D81" s="42"/>
    </row>
    <row r="82" spans="4:4">
      <c r="D82" s="42"/>
    </row>
  </sheetData>
  <mergeCells count="31"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  <mergeCell ref="A44:D44"/>
    <mergeCell ref="C45:C47"/>
    <mergeCell ref="D45:D47"/>
    <mergeCell ref="A48:D48"/>
    <mergeCell ref="C49:C60"/>
    <mergeCell ref="D49:D60"/>
    <mergeCell ref="C38:C43"/>
    <mergeCell ref="D38:D4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74"/>
  <sheetViews>
    <sheetView topLeftCell="A52" workbookViewId="0">
      <selection activeCell="A3" sqref="A3"/>
    </sheetView>
  </sheetViews>
  <sheetFormatPr defaultRowHeight="15"/>
  <cols>
    <col min="1" max="1" width="88.85546875" customWidth="1"/>
    <col min="2" max="2" width="13" customWidth="1"/>
    <col min="3" max="3" width="10" customWidth="1"/>
    <col min="4" max="4" width="12" customWidth="1"/>
  </cols>
  <sheetData>
    <row r="1" spans="1:6">
      <c r="A1" s="1" t="s">
        <v>0</v>
      </c>
      <c r="B1" s="2"/>
      <c r="C1" s="2"/>
      <c r="D1" s="2" t="s">
        <v>65</v>
      </c>
    </row>
    <row r="2" spans="1:6">
      <c r="A2" s="1" t="s">
        <v>192</v>
      </c>
      <c r="B2" s="2"/>
      <c r="C2" s="2"/>
      <c r="D2" s="2"/>
    </row>
    <row r="3" spans="1:6">
      <c r="A3" s="1" t="s">
        <v>352</v>
      </c>
      <c r="B3" s="2"/>
      <c r="C3" s="2"/>
      <c r="D3" s="2"/>
    </row>
    <row r="4" spans="1:6">
      <c r="A4" s="25" t="s">
        <v>59</v>
      </c>
      <c r="B4" s="2">
        <v>1964</v>
      </c>
      <c r="C4" s="2"/>
      <c r="D4" s="2"/>
    </row>
    <row r="5" spans="1:6">
      <c r="A5" s="25" t="s">
        <v>60</v>
      </c>
      <c r="B5" s="2">
        <v>4</v>
      </c>
      <c r="C5" s="2"/>
      <c r="D5" s="2"/>
    </row>
    <row r="6" spans="1:6">
      <c r="A6" s="25" t="s">
        <v>61</v>
      </c>
      <c r="B6" s="2">
        <v>4</v>
      </c>
      <c r="C6" s="2"/>
      <c r="D6" s="2"/>
    </row>
    <row r="7" spans="1:6">
      <c r="A7" s="25" t="s">
        <v>62</v>
      </c>
      <c r="B7" s="2">
        <v>64</v>
      </c>
      <c r="C7" s="2"/>
      <c r="D7" s="2"/>
      <c r="F7" s="81"/>
    </row>
    <row r="8" spans="1:6">
      <c r="A8" s="25" t="s">
        <v>73</v>
      </c>
      <c r="B8" s="2">
        <v>2552.6999999999998</v>
      </c>
      <c r="C8" s="2"/>
      <c r="D8" s="2"/>
    </row>
    <row r="9" spans="1:6">
      <c r="A9" s="25" t="s">
        <v>63</v>
      </c>
      <c r="B9" s="2">
        <v>187.7</v>
      </c>
      <c r="C9" s="2"/>
      <c r="D9" s="2"/>
    </row>
    <row r="10" spans="1:6">
      <c r="A10" s="25" t="s">
        <v>74</v>
      </c>
      <c r="B10" s="48" t="s">
        <v>101</v>
      </c>
      <c r="C10" s="2"/>
      <c r="D10" s="2"/>
    </row>
    <row r="11" spans="1:6" ht="36.75">
      <c r="A11" s="74" t="s">
        <v>1</v>
      </c>
      <c r="B11" s="74" t="s">
        <v>2</v>
      </c>
      <c r="C11" s="74" t="s">
        <v>3</v>
      </c>
      <c r="D11" s="74" t="s">
        <v>4</v>
      </c>
    </row>
    <row r="12" spans="1:6">
      <c r="A12" s="121" t="s">
        <v>5</v>
      </c>
      <c r="B12" s="122"/>
      <c r="C12" s="122"/>
      <c r="D12" s="123"/>
    </row>
    <row r="13" spans="1:6" ht="88.5" customHeight="1">
      <c r="A13" s="6" t="s">
        <v>6</v>
      </c>
      <c r="B13" s="74" t="s">
        <v>7</v>
      </c>
      <c r="C13" s="73">
        <v>0.13</v>
      </c>
      <c r="D13" s="29">
        <f>C13*9*B8</f>
        <v>2986.6589999999997</v>
      </c>
    </row>
    <row r="14" spans="1:6" ht="75.75" customHeight="1">
      <c r="A14" s="6" t="s">
        <v>90</v>
      </c>
      <c r="B14" s="74" t="s">
        <v>9</v>
      </c>
      <c r="C14" s="26">
        <v>2.0499999999999998</v>
      </c>
      <c r="D14" s="29">
        <f>C14*9*B8</f>
        <v>47097.314999999995</v>
      </c>
    </row>
    <row r="15" spans="1:6">
      <c r="A15" s="6" t="s">
        <v>10</v>
      </c>
      <c r="B15" s="74"/>
      <c r="C15" s="26"/>
      <c r="D15" s="30"/>
    </row>
    <row r="16" spans="1:6">
      <c r="A16" s="6" t="s">
        <v>194</v>
      </c>
      <c r="B16" s="74" t="s">
        <v>108</v>
      </c>
      <c r="C16" s="46">
        <v>0.09</v>
      </c>
      <c r="D16" s="30">
        <f>C16*9*B8</f>
        <v>2067.6869999999999</v>
      </c>
    </row>
    <row r="17" spans="1:4">
      <c r="A17" s="6" t="s">
        <v>195</v>
      </c>
      <c r="B17" s="74" t="s">
        <v>108</v>
      </c>
      <c r="C17" s="46">
        <f>1924.95/9/B8</f>
        <v>8.3787101239210779E-2</v>
      </c>
      <c r="D17" s="30">
        <f>C17*9*B8</f>
        <v>1924.95</v>
      </c>
    </row>
    <row r="18" spans="1:4">
      <c r="A18" s="124" t="s">
        <v>11</v>
      </c>
      <c r="B18" s="124"/>
      <c r="C18" s="124"/>
      <c r="D18" s="124"/>
    </row>
    <row r="19" spans="1:4" ht="13.5" customHeight="1">
      <c r="A19" s="41" t="s">
        <v>98</v>
      </c>
      <c r="B19" s="75"/>
      <c r="C19" s="75"/>
      <c r="D19" s="75"/>
    </row>
    <row r="20" spans="1:4" ht="13.5" customHeight="1">
      <c r="A20" s="6" t="s">
        <v>12</v>
      </c>
      <c r="B20" s="74" t="s">
        <v>76</v>
      </c>
      <c r="C20" s="118">
        <v>2.16</v>
      </c>
      <c r="D20" s="125">
        <f>C20*B8*9</f>
        <v>49624.488000000005</v>
      </c>
    </row>
    <row r="21" spans="1:4" ht="12.75" customHeight="1">
      <c r="A21" s="6" t="s">
        <v>13</v>
      </c>
      <c r="B21" s="74" t="s">
        <v>76</v>
      </c>
      <c r="C21" s="118"/>
      <c r="D21" s="126"/>
    </row>
    <row r="22" spans="1:4" ht="14.25" customHeight="1">
      <c r="A22" s="6" t="s">
        <v>14</v>
      </c>
      <c r="B22" s="74" t="s">
        <v>76</v>
      </c>
      <c r="C22" s="118"/>
      <c r="D22" s="126"/>
    </row>
    <row r="23" spans="1:4" ht="13.5" customHeight="1">
      <c r="A23" s="6" t="s">
        <v>15</v>
      </c>
      <c r="B23" s="74" t="s">
        <v>77</v>
      </c>
      <c r="C23" s="118"/>
      <c r="D23" s="126"/>
    </row>
    <row r="24" spans="1:4" ht="12.75" customHeight="1">
      <c r="A24" s="41" t="s">
        <v>94</v>
      </c>
      <c r="B24" s="74"/>
      <c r="C24" s="118"/>
      <c r="D24" s="126"/>
    </row>
    <row r="25" spans="1:4" ht="30" customHeight="1">
      <c r="A25" s="6" t="s">
        <v>16</v>
      </c>
      <c r="B25" s="74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C27*B8*9</f>
        <v>4594.8599999999997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0.54</v>
      </c>
      <c r="D31" s="117">
        <f>C31*B8*9</f>
        <v>12406.122000000001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89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1.25" customHeight="1">
      <c r="A37" s="130" t="s">
        <v>30</v>
      </c>
      <c r="B37" s="130"/>
      <c r="C37" s="130"/>
      <c r="D37" s="130"/>
    </row>
    <row r="38" spans="1:4" ht="35.25" customHeight="1">
      <c r="A38" s="9" t="s">
        <v>31</v>
      </c>
      <c r="B38" s="22" t="s">
        <v>23</v>
      </c>
      <c r="C38" s="117">
        <v>0.62</v>
      </c>
      <c r="D38" s="118">
        <f>C38*9*B8</f>
        <v>14244.065999999999</v>
      </c>
    </row>
    <row r="39" spans="1:4" ht="38.25" customHeight="1">
      <c r="A39" s="9" t="s">
        <v>32</v>
      </c>
      <c r="B39" s="22" t="s">
        <v>23</v>
      </c>
      <c r="C39" s="117"/>
      <c r="D39" s="118"/>
    </row>
    <row r="40" spans="1:4" ht="15" customHeight="1">
      <c r="A40" s="10" t="s">
        <v>33</v>
      </c>
      <c r="B40" s="22" t="s">
        <v>23</v>
      </c>
      <c r="C40" s="117"/>
      <c r="D40" s="118"/>
    </row>
    <row r="41" spans="1:4" ht="12.75" customHeight="1">
      <c r="A41" s="128" t="s">
        <v>34</v>
      </c>
      <c r="B41" s="128"/>
      <c r="C41" s="128"/>
      <c r="D41" s="128"/>
    </row>
    <row r="42" spans="1:4" ht="29.25" customHeight="1">
      <c r="A42" s="9" t="s">
        <v>35</v>
      </c>
      <c r="B42" s="22" t="s">
        <v>78</v>
      </c>
      <c r="C42" s="117">
        <f>3.35-0.17</f>
        <v>3.18</v>
      </c>
      <c r="D42" s="117">
        <f>C42*9*B8-77.91</f>
        <v>72980.363999999987</v>
      </c>
    </row>
    <row r="43" spans="1:4" ht="14.25" customHeight="1">
      <c r="A43" s="9" t="s">
        <v>36</v>
      </c>
      <c r="B43" s="22" t="s">
        <v>82</v>
      </c>
      <c r="C43" s="117"/>
      <c r="D43" s="117"/>
    </row>
    <row r="44" spans="1:4" ht="17.25" customHeight="1">
      <c r="A44" s="9" t="s">
        <v>37</v>
      </c>
      <c r="B44" s="22" t="s">
        <v>82</v>
      </c>
      <c r="C44" s="117"/>
      <c r="D44" s="117"/>
    </row>
    <row r="45" spans="1:4" ht="24.75" customHeight="1">
      <c r="A45" s="9" t="s">
        <v>38</v>
      </c>
      <c r="B45" s="22" t="s">
        <v>83</v>
      </c>
      <c r="C45" s="117"/>
      <c r="D45" s="117"/>
    </row>
    <row r="46" spans="1:4" ht="30" customHeight="1">
      <c r="A46" s="9" t="s">
        <v>39</v>
      </c>
      <c r="B46" s="22" t="s">
        <v>83</v>
      </c>
      <c r="C46" s="117"/>
      <c r="D46" s="117"/>
    </row>
    <row r="47" spans="1:4" ht="12.75" customHeight="1">
      <c r="A47" s="75" t="s">
        <v>96</v>
      </c>
      <c r="B47" s="6"/>
      <c r="C47" s="117"/>
      <c r="D47" s="117"/>
    </row>
    <row r="48" spans="1:4" ht="35.25" customHeight="1">
      <c r="A48" s="9" t="s">
        <v>41</v>
      </c>
      <c r="B48" s="22" t="s">
        <v>80</v>
      </c>
      <c r="C48" s="117"/>
      <c r="D48" s="117"/>
    </row>
    <row r="49" spans="1:4" ht="14.25" customHeight="1">
      <c r="A49" s="9" t="s">
        <v>42</v>
      </c>
      <c r="B49" s="22" t="s">
        <v>25</v>
      </c>
      <c r="C49" s="117"/>
      <c r="D49" s="117"/>
    </row>
    <row r="50" spans="1:4" ht="14.25" customHeight="1">
      <c r="A50" s="9" t="s">
        <v>43</v>
      </c>
      <c r="B50" s="23" t="s">
        <v>25</v>
      </c>
      <c r="C50" s="117"/>
      <c r="D50" s="117"/>
    </row>
    <row r="51" spans="1:4" ht="13.5" customHeight="1">
      <c r="A51" s="9" t="s">
        <v>44</v>
      </c>
      <c r="B51" s="23" t="s">
        <v>25</v>
      </c>
      <c r="C51" s="117"/>
      <c r="D51" s="117"/>
    </row>
    <row r="52" spans="1:4" ht="13.5" customHeight="1">
      <c r="A52" s="9" t="s">
        <v>45</v>
      </c>
      <c r="B52" s="21" t="s">
        <v>193</v>
      </c>
      <c r="C52" s="117"/>
      <c r="D52" s="117"/>
    </row>
    <row r="53" spans="1:4" ht="36.75" customHeight="1">
      <c r="A53" s="10" t="s">
        <v>46</v>
      </c>
      <c r="B53" s="22" t="s">
        <v>23</v>
      </c>
      <c r="C53" s="117"/>
      <c r="D53" s="117"/>
    </row>
    <row r="54" spans="1:4">
      <c r="A54" s="128" t="s">
        <v>47</v>
      </c>
      <c r="B54" s="128"/>
      <c r="C54" s="128"/>
      <c r="D54" s="128"/>
    </row>
    <row r="55" spans="1:4" ht="15.75" customHeight="1">
      <c r="A55" s="9" t="s">
        <v>48</v>
      </c>
      <c r="B55" s="22" t="s">
        <v>84</v>
      </c>
      <c r="C55" s="118">
        <v>1.54</v>
      </c>
      <c r="D55" s="117">
        <f>C55*B8*9</f>
        <v>35380.421999999999</v>
      </c>
    </row>
    <row r="56" spans="1:4" ht="12.75" customHeight="1">
      <c r="A56" s="9" t="s">
        <v>49</v>
      </c>
      <c r="B56" s="22" t="s">
        <v>84</v>
      </c>
      <c r="C56" s="118"/>
      <c r="D56" s="117"/>
    </row>
    <row r="57" spans="1:4" ht="23.25" customHeight="1">
      <c r="A57" s="9" t="s">
        <v>50</v>
      </c>
      <c r="B57" s="22" t="s">
        <v>84</v>
      </c>
      <c r="C57" s="118"/>
      <c r="D57" s="117"/>
    </row>
    <row r="58" spans="1:4" ht="16.5" customHeight="1">
      <c r="A58" s="9" t="s">
        <v>51</v>
      </c>
      <c r="B58" s="22" t="s">
        <v>84</v>
      </c>
      <c r="C58" s="118"/>
      <c r="D58" s="117"/>
    </row>
    <row r="59" spans="1:4" ht="39.75" customHeight="1">
      <c r="A59" s="10" t="s">
        <v>52</v>
      </c>
      <c r="B59" s="22" t="s">
        <v>23</v>
      </c>
      <c r="C59" s="118"/>
      <c r="D59" s="117"/>
    </row>
    <row r="60" spans="1:4" ht="16.5" customHeight="1">
      <c r="A60" s="10" t="s">
        <v>53</v>
      </c>
      <c r="B60" s="23" t="s">
        <v>85</v>
      </c>
      <c r="C60" s="118"/>
      <c r="D60" s="117"/>
    </row>
    <row r="61" spans="1:4">
      <c r="A61" s="121" t="s">
        <v>86</v>
      </c>
      <c r="B61" s="122"/>
      <c r="C61" s="122"/>
      <c r="D61" s="123"/>
    </row>
    <row r="62" spans="1:4" ht="26.25" customHeight="1">
      <c r="A62" s="139" t="s">
        <v>97</v>
      </c>
      <c r="B62" s="141" t="s">
        <v>87</v>
      </c>
      <c r="C62" s="118">
        <v>2.41</v>
      </c>
      <c r="D62" s="117">
        <f>C62*B8*9</f>
        <v>55368.062999999995</v>
      </c>
    </row>
    <row r="63" spans="1:4" ht="13.5" customHeight="1">
      <c r="A63" s="140"/>
      <c r="B63" s="141"/>
      <c r="C63" s="118"/>
      <c r="D63" s="117"/>
    </row>
    <row r="64" spans="1:4" ht="15" customHeight="1">
      <c r="A64" s="121" t="s">
        <v>56</v>
      </c>
      <c r="B64" s="122"/>
      <c r="C64" s="122"/>
      <c r="D64" s="123"/>
    </row>
    <row r="65" spans="1:4" ht="16.5" customHeight="1">
      <c r="A65" s="6" t="s">
        <v>91</v>
      </c>
      <c r="B65" s="21" t="s">
        <v>88</v>
      </c>
      <c r="C65" s="131">
        <v>2.14</v>
      </c>
      <c r="D65" s="133">
        <v>49166.83</v>
      </c>
    </row>
    <row r="66" spans="1:4">
      <c r="A66" s="6" t="s">
        <v>92</v>
      </c>
      <c r="B66" s="21" t="s">
        <v>88</v>
      </c>
      <c r="C66" s="132"/>
      <c r="D66" s="134"/>
    </row>
    <row r="67" spans="1:4" ht="15" customHeight="1">
      <c r="A67" s="6" t="s">
        <v>93</v>
      </c>
      <c r="B67" s="21" t="s">
        <v>88</v>
      </c>
      <c r="C67" s="130"/>
      <c r="D67" s="135"/>
    </row>
    <row r="68" spans="1:4" ht="38.25" customHeight="1">
      <c r="A68" s="6" t="s">
        <v>165</v>
      </c>
      <c r="B68" s="22" t="s">
        <v>23</v>
      </c>
      <c r="C68" s="72">
        <v>4.22</v>
      </c>
      <c r="D68" s="72">
        <v>95702.69</v>
      </c>
    </row>
    <row r="69" spans="1:4">
      <c r="A69" s="75" t="s">
        <v>57</v>
      </c>
      <c r="B69" s="23"/>
      <c r="C69" s="28">
        <f>C68+C65+C62+C55+C42+C38+C31+C27+C20+C17+C16+C14+C13</f>
        <v>19.363787101239208</v>
      </c>
      <c r="D69" s="57">
        <f>D68+D65+D62+D55+D42+D38+D31+D27+D20+D17+D16+D14+D13</f>
        <v>443544.51599999995</v>
      </c>
    </row>
    <row r="71" spans="1:4">
      <c r="D71" s="42"/>
    </row>
    <row r="72" spans="1:4">
      <c r="D72" s="42"/>
    </row>
    <row r="73" spans="1:4">
      <c r="D73" s="42"/>
    </row>
    <row r="74" spans="1:4">
      <c r="D74" s="42"/>
    </row>
  </sheetData>
  <mergeCells count="28">
    <mergeCell ref="C65:C67"/>
    <mergeCell ref="D65:D67"/>
    <mergeCell ref="A61:D61"/>
    <mergeCell ref="A62:A63"/>
    <mergeCell ref="B62:B63"/>
    <mergeCell ref="C62:C63"/>
    <mergeCell ref="D62:D63"/>
    <mergeCell ref="A64:D64"/>
    <mergeCell ref="A41:D41"/>
    <mergeCell ref="C42:C53"/>
    <mergeCell ref="D42:D53"/>
    <mergeCell ref="A54:D54"/>
    <mergeCell ref="C55:C60"/>
    <mergeCell ref="D55:D60"/>
    <mergeCell ref="C38:C40"/>
    <mergeCell ref="D38:D40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83"/>
  <sheetViews>
    <sheetView topLeftCell="A58" workbookViewId="0">
      <selection activeCell="E80" sqref="E80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185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25" t="s">
        <v>59</v>
      </c>
      <c r="B4" s="2">
        <v>1971</v>
      </c>
      <c r="C4" s="2"/>
      <c r="D4" s="2"/>
    </row>
    <row r="5" spans="1:4">
      <c r="A5" s="25" t="s">
        <v>60</v>
      </c>
      <c r="B5" s="2">
        <v>2</v>
      </c>
      <c r="C5" s="2"/>
      <c r="D5" s="2"/>
    </row>
    <row r="6" spans="1:4">
      <c r="A6" s="25" t="s">
        <v>61</v>
      </c>
      <c r="B6" s="2">
        <v>1</v>
      </c>
      <c r="C6" s="2"/>
      <c r="D6" s="2"/>
    </row>
    <row r="7" spans="1:4">
      <c r="A7" s="25" t="s">
        <v>62</v>
      </c>
      <c r="B7" s="2">
        <v>10</v>
      </c>
      <c r="C7" s="2"/>
      <c r="D7" s="2"/>
    </row>
    <row r="8" spans="1:4">
      <c r="A8" s="25" t="s">
        <v>73</v>
      </c>
      <c r="B8" s="2">
        <v>777.3</v>
      </c>
      <c r="C8" s="2"/>
      <c r="D8" s="2"/>
    </row>
    <row r="9" spans="1:4">
      <c r="A9" s="25" t="s">
        <v>63</v>
      </c>
      <c r="B9" s="2">
        <v>67.599999999999994</v>
      </c>
      <c r="C9" s="2"/>
      <c r="D9" s="2"/>
    </row>
    <row r="10" spans="1:4">
      <c r="A10" s="25" t="s">
        <v>74</v>
      </c>
      <c r="B10" s="43" t="s">
        <v>101</v>
      </c>
      <c r="C10" s="2"/>
      <c r="D10" s="2"/>
    </row>
    <row r="11" spans="1:4" ht="36.75">
      <c r="A11" s="74" t="s">
        <v>1</v>
      </c>
      <c r="B11" s="74" t="s">
        <v>2</v>
      </c>
      <c r="C11" s="74" t="s">
        <v>3</v>
      </c>
      <c r="D11" s="74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4" t="s">
        <v>7</v>
      </c>
      <c r="C13" s="73">
        <v>0.13</v>
      </c>
      <c r="D13" s="29">
        <f>C13*9*B8</f>
        <v>909.44099999999992</v>
      </c>
    </row>
    <row r="14" spans="1:4" ht="75.75" customHeight="1">
      <c r="A14" s="6" t="s">
        <v>90</v>
      </c>
      <c r="B14" s="74" t="s">
        <v>9</v>
      </c>
      <c r="C14" s="26">
        <v>2.79</v>
      </c>
      <c r="D14" s="29">
        <f>C14*9*B8</f>
        <v>19518.002999999997</v>
      </c>
    </row>
    <row r="15" spans="1:4">
      <c r="A15" s="6" t="s">
        <v>10</v>
      </c>
      <c r="B15" s="74"/>
      <c r="C15" s="26"/>
      <c r="D15" s="30"/>
    </row>
    <row r="16" spans="1:4">
      <c r="A16" s="6" t="s">
        <v>187</v>
      </c>
      <c r="B16" s="74" t="s">
        <v>108</v>
      </c>
      <c r="C16" s="46">
        <v>0.71</v>
      </c>
      <c r="D16" s="30">
        <f>C16*B8*9</f>
        <v>4966.9469999999992</v>
      </c>
    </row>
    <row r="17" spans="1:4">
      <c r="A17" s="6" t="s">
        <v>188</v>
      </c>
      <c r="B17" s="74" t="s">
        <v>108</v>
      </c>
      <c r="C17" s="46">
        <f>5.4*300/9/B8</f>
        <v>0.23157082207641838</v>
      </c>
      <c r="D17" s="30">
        <f>C17*9*B8</f>
        <v>1620</v>
      </c>
    </row>
    <row r="18" spans="1:4">
      <c r="A18" s="6" t="s">
        <v>186</v>
      </c>
      <c r="B18" s="74" t="s">
        <v>191</v>
      </c>
      <c r="C18" s="46">
        <f>1200*12/9/B8</f>
        <v>2.058407307345941</v>
      </c>
      <c r="D18" s="30">
        <f>C18*9*B8</f>
        <v>14399.999999999998</v>
      </c>
    </row>
    <row r="19" spans="1:4">
      <c r="A19" s="124" t="s">
        <v>11</v>
      </c>
      <c r="B19" s="124"/>
      <c r="C19" s="124"/>
      <c r="D19" s="124"/>
    </row>
    <row r="20" spans="1:4" ht="13.5" customHeight="1">
      <c r="A20" s="41" t="s">
        <v>98</v>
      </c>
      <c r="B20" s="75"/>
      <c r="C20" s="75"/>
      <c r="D20" s="75"/>
    </row>
    <row r="21" spans="1:4" ht="13.5" customHeight="1">
      <c r="A21" s="6" t="s">
        <v>12</v>
      </c>
      <c r="B21" s="74" t="s">
        <v>76</v>
      </c>
      <c r="C21" s="118">
        <v>2.16</v>
      </c>
      <c r="D21" s="125">
        <f>C21*B8*9</f>
        <v>15110.712000000001</v>
      </c>
    </row>
    <row r="22" spans="1:4" ht="12.75" customHeight="1">
      <c r="A22" s="6" t="s">
        <v>13</v>
      </c>
      <c r="B22" s="74" t="s">
        <v>76</v>
      </c>
      <c r="C22" s="118"/>
      <c r="D22" s="126"/>
    </row>
    <row r="23" spans="1:4" ht="14.25" customHeight="1">
      <c r="A23" s="6" t="s">
        <v>14</v>
      </c>
      <c r="B23" s="74" t="s">
        <v>76</v>
      </c>
      <c r="C23" s="118"/>
      <c r="D23" s="126"/>
    </row>
    <row r="24" spans="1:4" ht="13.5" customHeight="1">
      <c r="A24" s="6" t="s">
        <v>15</v>
      </c>
      <c r="B24" s="74" t="s">
        <v>77</v>
      </c>
      <c r="C24" s="118"/>
      <c r="D24" s="126"/>
    </row>
    <row r="25" spans="1:4" ht="12.75" customHeight="1">
      <c r="A25" s="41" t="s">
        <v>94</v>
      </c>
      <c r="B25" s="74"/>
      <c r="C25" s="118"/>
      <c r="D25" s="126"/>
    </row>
    <row r="26" spans="1:4" ht="30" customHeight="1">
      <c r="A26" s="6" t="s">
        <v>16</v>
      </c>
      <c r="B26" s="74" t="s">
        <v>95</v>
      </c>
      <c r="C26" s="118"/>
      <c r="D26" s="127"/>
    </row>
    <row r="27" spans="1:4" ht="12.75" customHeight="1">
      <c r="A27" s="121" t="s">
        <v>17</v>
      </c>
      <c r="B27" s="122"/>
      <c r="C27" s="122"/>
      <c r="D27" s="123"/>
    </row>
    <row r="28" spans="1:4" ht="12" customHeight="1">
      <c r="A28" s="7" t="s">
        <v>18</v>
      </c>
      <c r="B28" s="21" t="s">
        <v>79</v>
      </c>
      <c r="C28" s="118">
        <v>0.2</v>
      </c>
      <c r="D28" s="128">
        <f>C28*B8*9</f>
        <v>1399.14</v>
      </c>
    </row>
    <row r="29" spans="1:4" ht="12" customHeight="1">
      <c r="A29" s="7" t="s">
        <v>19</v>
      </c>
      <c r="B29" s="21" t="s">
        <v>78</v>
      </c>
      <c r="C29" s="118"/>
      <c r="D29" s="128"/>
    </row>
    <row r="30" spans="1:4" ht="13.5" customHeight="1">
      <c r="A30" s="121" t="s">
        <v>20</v>
      </c>
      <c r="B30" s="122"/>
      <c r="C30" s="122"/>
      <c r="D30" s="123"/>
    </row>
    <row r="31" spans="1:4">
      <c r="A31" s="128" t="s">
        <v>21</v>
      </c>
      <c r="B31" s="128"/>
      <c r="C31" s="128"/>
      <c r="D31" s="128"/>
    </row>
    <row r="32" spans="1:4" ht="37.5" customHeight="1">
      <c r="A32" s="8" t="s">
        <v>22</v>
      </c>
      <c r="B32" s="22" t="s">
        <v>80</v>
      </c>
      <c r="C32" s="118">
        <v>0.61</v>
      </c>
      <c r="D32" s="117">
        <f>C32*B8*9</f>
        <v>4267.3769999999995</v>
      </c>
    </row>
    <row r="33" spans="1:4" ht="15" customHeight="1">
      <c r="A33" s="9" t="s">
        <v>24</v>
      </c>
      <c r="B33" s="23" t="s">
        <v>81</v>
      </c>
      <c r="C33" s="118"/>
      <c r="D33" s="126"/>
    </row>
    <row r="34" spans="1:4" ht="13.5" customHeight="1">
      <c r="A34" s="9" t="s">
        <v>26</v>
      </c>
      <c r="B34" s="23" t="s">
        <v>81</v>
      </c>
      <c r="C34" s="118"/>
      <c r="D34" s="126"/>
    </row>
    <row r="35" spans="1:4" ht="36" customHeight="1">
      <c r="A35" s="9" t="s">
        <v>27</v>
      </c>
      <c r="B35" s="22" t="s">
        <v>23</v>
      </c>
      <c r="C35" s="118"/>
      <c r="D35" s="126"/>
    </row>
    <row r="36" spans="1:4" ht="14.25" customHeight="1">
      <c r="A36" s="9" t="s">
        <v>28</v>
      </c>
      <c r="B36" s="22" t="s">
        <v>25</v>
      </c>
      <c r="C36" s="118"/>
      <c r="D36" s="126"/>
    </row>
    <row r="37" spans="1:4" ht="33.75" customHeight="1">
      <c r="A37" s="24" t="s">
        <v>29</v>
      </c>
      <c r="B37" s="22" t="s">
        <v>23</v>
      </c>
      <c r="C37" s="129"/>
      <c r="D37" s="127"/>
    </row>
    <row r="38" spans="1:4" ht="15.75" customHeight="1">
      <c r="A38" s="128" t="s">
        <v>66</v>
      </c>
      <c r="B38" s="128"/>
      <c r="C38" s="128"/>
      <c r="D38" s="128"/>
    </row>
    <row r="39" spans="1:4" ht="36.75" customHeight="1">
      <c r="A39" s="9" t="s">
        <v>67</v>
      </c>
      <c r="B39" s="22" t="s">
        <v>80</v>
      </c>
      <c r="C39" s="117">
        <v>1</v>
      </c>
      <c r="D39" s="118">
        <f>C39*B8*9</f>
        <v>6995.7</v>
      </c>
    </row>
    <row r="40" spans="1:4" ht="14.25" customHeight="1">
      <c r="A40" s="9" t="s">
        <v>68</v>
      </c>
      <c r="B40" s="22" t="s">
        <v>81</v>
      </c>
      <c r="C40" s="117"/>
      <c r="D40" s="119"/>
    </row>
    <row r="41" spans="1:4" ht="14.25" customHeight="1">
      <c r="A41" s="9" t="s">
        <v>69</v>
      </c>
      <c r="B41" s="22" t="s">
        <v>81</v>
      </c>
      <c r="C41" s="117"/>
      <c r="D41" s="119"/>
    </row>
    <row r="42" spans="1:4" ht="24" customHeight="1">
      <c r="A42" s="9" t="s">
        <v>70</v>
      </c>
      <c r="B42" s="22" t="s">
        <v>80</v>
      </c>
      <c r="C42" s="117"/>
      <c r="D42" s="119"/>
    </row>
    <row r="43" spans="1:4" ht="25.5" customHeight="1">
      <c r="A43" s="10" t="s">
        <v>71</v>
      </c>
      <c r="B43" s="22" t="s">
        <v>80</v>
      </c>
      <c r="C43" s="117"/>
      <c r="D43" s="119"/>
    </row>
    <row r="44" spans="1:4" ht="14.25" customHeight="1">
      <c r="A44" s="9" t="s">
        <v>72</v>
      </c>
      <c r="B44" s="22" t="s">
        <v>25</v>
      </c>
      <c r="C44" s="117"/>
      <c r="D44" s="120"/>
    </row>
    <row r="45" spans="1:4" ht="11.25" customHeight="1">
      <c r="A45" s="130" t="s">
        <v>30</v>
      </c>
      <c r="B45" s="130"/>
      <c r="C45" s="130"/>
      <c r="D45" s="130"/>
    </row>
    <row r="46" spans="1:4" ht="35.25" customHeight="1">
      <c r="A46" s="9" t="s">
        <v>31</v>
      </c>
      <c r="B46" s="22" t="s">
        <v>23</v>
      </c>
      <c r="C46" s="117">
        <v>0.69</v>
      </c>
      <c r="D46" s="118">
        <f>C46*9*B8</f>
        <v>4827.0329999999994</v>
      </c>
    </row>
    <row r="47" spans="1:4" ht="38.25" customHeight="1">
      <c r="A47" s="9" t="s">
        <v>32</v>
      </c>
      <c r="B47" s="22" t="s">
        <v>23</v>
      </c>
      <c r="C47" s="117"/>
      <c r="D47" s="118"/>
    </row>
    <row r="48" spans="1:4" ht="15" customHeight="1">
      <c r="A48" s="10" t="s">
        <v>33</v>
      </c>
      <c r="B48" s="22" t="s">
        <v>23</v>
      </c>
      <c r="C48" s="117"/>
      <c r="D48" s="118"/>
    </row>
    <row r="49" spans="1:4" ht="12.75" customHeight="1">
      <c r="A49" s="128" t="s">
        <v>34</v>
      </c>
      <c r="B49" s="128"/>
      <c r="C49" s="128"/>
      <c r="D49" s="128"/>
    </row>
    <row r="50" spans="1:4" ht="29.25" customHeight="1">
      <c r="A50" s="9" t="s">
        <v>35</v>
      </c>
      <c r="B50" s="22" t="s">
        <v>78</v>
      </c>
      <c r="C50" s="117">
        <v>1.77</v>
      </c>
      <c r="D50" s="117">
        <f>C50*9*B8</f>
        <v>12382.388999999999</v>
      </c>
    </row>
    <row r="51" spans="1:4" ht="14.25" customHeight="1">
      <c r="A51" s="9" t="s">
        <v>36</v>
      </c>
      <c r="B51" s="22" t="s">
        <v>82</v>
      </c>
      <c r="C51" s="117"/>
      <c r="D51" s="117"/>
    </row>
    <row r="52" spans="1:4" ht="17.25" customHeight="1">
      <c r="A52" s="9" t="s">
        <v>37</v>
      </c>
      <c r="B52" s="22" t="s">
        <v>82</v>
      </c>
      <c r="C52" s="117"/>
      <c r="D52" s="117"/>
    </row>
    <row r="53" spans="1:4" ht="24.75" customHeight="1">
      <c r="A53" s="9" t="s">
        <v>38</v>
      </c>
      <c r="B53" s="22" t="s">
        <v>83</v>
      </c>
      <c r="C53" s="117"/>
      <c r="D53" s="117"/>
    </row>
    <row r="54" spans="1:4" ht="30" customHeight="1">
      <c r="A54" s="9" t="s">
        <v>39</v>
      </c>
      <c r="B54" s="22" t="s">
        <v>83</v>
      </c>
      <c r="C54" s="117"/>
      <c r="D54" s="117"/>
    </row>
    <row r="55" spans="1:4" ht="12.75" customHeight="1">
      <c r="A55" s="75" t="s">
        <v>96</v>
      </c>
      <c r="B55" s="6"/>
      <c r="C55" s="117"/>
      <c r="D55" s="117"/>
    </row>
    <row r="56" spans="1:4" ht="35.25" customHeight="1">
      <c r="A56" s="9" t="s">
        <v>41</v>
      </c>
      <c r="B56" s="22" t="s">
        <v>80</v>
      </c>
      <c r="C56" s="117"/>
      <c r="D56" s="117"/>
    </row>
    <row r="57" spans="1:4" ht="14.25" customHeight="1">
      <c r="A57" s="9" t="s">
        <v>42</v>
      </c>
      <c r="B57" s="22" t="s">
        <v>81</v>
      </c>
      <c r="C57" s="117"/>
      <c r="D57" s="117"/>
    </row>
    <row r="58" spans="1:4" ht="14.25" customHeight="1">
      <c r="A58" s="9" t="s">
        <v>43</v>
      </c>
      <c r="B58" s="23" t="s">
        <v>81</v>
      </c>
      <c r="C58" s="117"/>
      <c r="D58" s="117"/>
    </row>
    <row r="59" spans="1:4" ht="13.5" customHeight="1">
      <c r="A59" s="9" t="s">
        <v>44</v>
      </c>
      <c r="B59" s="23" t="s">
        <v>81</v>
      </c>
      <c r="C59" s="117"/>
      <c r="D59" s="117"/>
    </row>
    <row r="60" spans="1:4" ht="13.5" customHeight="1">
      <c r="A60" s="9" t="s">
        <v>45</v>
      </c>
      <c r="B60" s="21" t="s">
        <v>190</v>
      </c>
      <c r="C60" s="117"/>
      <c r="D60" s="117"/>
    </row>
    <row r="61" spans="1:4" ht="36.75" customHeight="1">
      <c r="A61" s="10" t="s">
        <v>46</v>
      </c>
      <c r="B61" s="22" t="s">
        <v>23</v>
      </c>
      <c r="C61" s="117"/>
      <c r="D61" s="117"/>
    </row>
    <row r="62" spans="1:4">
      <c r="A62" s="128" t="s">
        <v>47</v>
      </c>
      <c r="B62" s="128"/>
      <c r="C62" s="128"/>
      <c r="D62" s="128"/>
    </row>
    <row r="63" spans="1:4" ht="15.75" customHeight="1">
      <c r="A63" s="9" t="s">
        <v>48</v>
      </c>
      <c r="B63" s="22" t="s">
        <v>84</v>
      </c>
      <c r="C63" s="118">
        <v>0.37</v>
      </c>
      <c r="D63" s="117">
        <f>C63*B8*9</f>
        <v>2588.4090000000001</v>
      </c>
    </row>
    <row r="64" spans="1:4" ht="12.75" customHeight="1">
      <c r="A64" s="9" t="s">
        <v>49</v>
      </c>
      <c r="B64" s="22" t="s">
        <v>84</v>
      </c>
      <c r="C64" s="118"/>
      <c r="D64" s="117"/>
    </row>
    <row r="65" spans="1:5" ht="24.75" customHeight="1">
      <c r="A65" s="9" t="s">
        <v>50</v>
      </c>
      <c r="B65" s="22" t="s">
        <v>84</v>
      </c>
      <c r="C65" s="118"/>
      <c r="D65" s="117"/>
    </row>
    <row r="66" spans="1:5" ht="16.5" customHeight="1">
      <c r="A66" s="9" t="s">
        <v>51</v>
      </c>
      <c r="B66" s="22" t="s">
        <v>84</v>
      </c>
      <c r="C66" s="118"/>
      <c r="D66" s="117"/>
    </row>
    <row r="67" spans="1:5" ht="39.75" customHeight="1">
      <c r="A67" s="10" t="s">
        <v>52</v>
      </c>
      <c r="B67" s="22" t="s">
        <v>23</v>
      </c>
      <c r="C67" s="118"/>
      <c r="D67" s="117"/>
    </row>
    <row r="68" spans="1:5" ht="16.5" customHeight="1">
      <c r="A68" s="10" t="s">
        <v>53</v>
      </c>
      <c r="B68" s="23" t="s">
        <v>85</v>
      </c>
      <c r="C68" s="118"/>
      <c r="D68" s="117"/>
    </row>
    <row r="69" spans="1:5">
      <c r="A69" s="121" t="s">
        <v>86</v>
      </c>
      <c r="B69" s="122"/>
      <c r="C69" s="122"/>
      <c r="D69" s="123"/>
    </row>
    <row r="70" spans="1:5" ht="26.25" customHeight="1">
      <c r="A70" s="139" t="s">
        <v>97</v>
      </c>
      <c r="B70" s="141" t="s">
        <v>87</v>
      </c>
      <c r="C70" s="118">
        <v>2.41</v>
      </c>
      <c r="D70" s="117">
        <f>C70*B8*9</f>
        <v>16859.636999999999</v>
      </c>
    </row>
    <row r="71" spans="1:5" ht="13.5" customHeight="1">
      <c r="A71" s="140"/>
      <c r="B71" s="141"/>
      <c r="C71" s="118"/>
      <c r="D71" s="117"/>
    </row>
    <row r="72" spans="1:5" ht="15" customHeight="1">
      <c r="A72" s="121" t="s">
        <v>56</v>
      </c>
      <c r="B72" s="122"/>
      <c r="C72" s="122"/>
      <c r="D72" s="123"/>
    </row>
    <row r="73" spans="1:5" ht="16.5" customHeight="1">
      <c r="A73" s="6" t="s">
        <v>91</v>
      </c>
      <c r="B73" s="21" t="s">
        <v>88</v>
      </c>
      <c r="C73" s="131">
        <v>2.14</v>
      </c>
      <c r="D73" s="133">
        <v>14971.8</v>
      </c>
      <c r="E73">
        <f>2.14*9*B8</f>
        <v>14970.798000000001</v>
      </c>
    </row>
    <row r="74" spans="1:5">
      <c r="A74" s="6" t="s">
        <v>92</v>
      </c>
      <c r="B74" s="21" t="s">
        <v>88</v>
      </c>
      <c r="C74" s="132"/>
      <c r="D74" s="134"/>
    </row>
    <row r="75" spans="1:5" ht="15" customHeight="1">
      <c r="A75" s="6" t="s">
        <v>93</v>
      </c>
      <c r="B75" s="21" t="s">
        <v>88</v>
      </c>
      <c r="C75" s="130"/>
      <c r="D75" s="135"/>
    </row>
    <row r="76" spans="1:5" ht="38.25" customHeight="1">
      <c r="A76" s="6" t="s">
        <v>165</v>
      </c>
      <c r="B76" s="22" t="s">
        <v>23</v>
      </c>
      <c r="C76" s="72">
        <v>4.3499999999999996</v>
      </c>
      <c r="D76" s="72">
        <v>30431.3</v>
      </c>
      <c r="E76">
        <f>9*C76*B8</f>
        <v>30431.294999999998</v>
      </c>
    </row>
    <row r="77" spans="1:5" ht="18" customHeight="1">
      <c r="A77" s="6" t="s">
        <v>189</v>
      </c>
      <c r="B77" s="22"/>
      <c r="C77" s="72"/>
      <c r="D77" s="72">
        <f>-15.13*91.4*9</f>
        <v>-12445.938</v>
      </c>
    </row>
    <row r="78" spans="1:5">
      <c r="A78" s="75" t="s">
        <v>57</v>
      </c>
      <c r="B78" s="23"/>
      <c r="C78" s="28">
        <f>C76+C73+C70+C63+C50+C46+C39+C32+C28+C21+C18+C17+C16+C14+C13</f>
        <v>21.619978129422353</v>
      </c>
      <c r="D78" s="57">
        <f>D76+D73+D70+D63+D50+D46+D39+D32+D28+D21+D18+D17+D16+D14+D13+D77</f>
        <v>138801.94999999998</v>
      </c>
    </row>
    <row r="80" spans="1:5">
      <c r="D80" s="42"/>
    </row>
    <row r="81" spans="4:4">
      <c r="D81" s="42"/>
    </row>
    <row r="82" spans="4:4">
      <c r="D82" s="42"/>
    </row>
    <row r="83" spans="4:4">
      <c r="D83" s="42"/>
    </row>
  </sheetData>
  <mergeCells count="31">
    <mergeCell ref="A72:D72"/>
    <mergeCell ref="C73:C75"/>
    <mergeCell ref="D73:D75"/>
    <mergeCell ref="A62:D62"/>
    <mergeCell ref="C63:C68"/>
    <mergeCell ref="D63:D68"/>
    <mergeCell ref="A69:D69"/>
    <mergeCell ref="A70:A71"/>
    <mergeCell ref="B70:B71"/>
    <mergeCell ref="C70:C71"/>
    <mergeCell ref="D70:D71"/>
    <mergeCell ref="A45:D45"/>
    <mergeCell ref="C46:C48"/>
    <mergeCell ref="D46:D48"/>
    <mergeCell ref="A49:D49"/>
    <mergeCell ref="C50:C61"/>
    <mergeCell ref="D50:D61"/>
    <mergeCell ref="C39:C44"/>
    <mergeCell ref="D39:D44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71"/>
  <sheetViews>
    <sheetView topLeftCell="A49" workbookViewId="0">
      <selection activeCell="C70" sqref="C70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183</v>
      </c>
      <c r="B2" s="2"/>
      <c r="C2" s="2"/>
      <c r="D2" s="2"/>
    </row>
    <row r="3" spans="1:4">
      <c r="A3" s="1" t="s">
        <v>110</v>
      </c>
      <c r="B3" s="2"/>
      <c r="C3" s="2"/>
      <c r="D3" s="2"/>
    </row>
    <row r="4" spans="1:4">
      <c r="A4" s="25" t="s">
        <v>59</v>
      </c>
      <c r="B4" s="2">
        <v>1963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30</v>
      </c>
      <c r="C7" s="2"/>
      <c r="D7" s="2"/>
    </row>
    <row r="8" spans="1:4">
      <c r="A8" s="25" t="s">
        <v>73</v>
      </c>
      <c r="B8" s="2">
        <v>1203</v>
      </c>
      <c r="C8" s="2"/>
      <c r="D8" s="2"/>
    </row>
    <row r="9" spans="1:4">
      <c r="A9" s="25" t="s">
        <v>63</v>
      </c>
      <c r="B9" s="2">
        <v>95.5</v>
      </c>
      <c r="C9" s="2"/>
      <c r="D9" s="2"/>
    </row>
    <row r="10" spans="1:4">
      <c r="A10" s="25" t="s">
        <v>74</v>
      </c>
      <c r="B10" s="43" t="s">
        <v>101</v>
      </c>
      <c r="C10" s="2"/>
      <c r="D10" s="2"/>
    </row>
    <row r="11" spans="1:4" ht="36.75">
      <c r="A11" s="74" t="s">
        <v>1</v>
      </c>
      <c r="B11" s="74" t="s">
        <v>2</v>
      </c>
      <c r="C11" s="74" t="s">
        <v>3</v>
      </c>
      <c r="D11" s="74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4" t="s">
        <v>7</v>
      </c>
      <c r="C13" s="73">
        <v>0.13</v>
      </c>
      <c r="D13" s="29">
        <f>C13*11*B8</f>
        <v>1720.2900000000002</v>
      </c>
    </row>
    <row r="14" spans="1:4" ht="75.75" customHeight="1">
      <c r="A14" s="6" t="s">
        <v>90</v>
      </c>
      <c r="B14" s="74" t="s">
        <v>9</v>
      </c>
      <c r="C14" s="26">
        <v>2.0499999999999998</v>
      </c>
      <c r="D14" s="29">
        <f>C14*11*B8</f>
        <v>27127.649999999998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75"/>
      <c r="C16" s="75"/>
      <c r="D16" s="75"/>
    </row>
    <row r="17" spans="1:4" ht="13.5" customHeight="1">
      <c r="A17" s="6" t="s">
        <v>12</v>
      </c>
      <c r="B17" s="74" t="s">
        <v>76</v>
      </c>
      <c r="C17" s="118">
        <v>2.16</v>
      </c>
      <c r="D17" s="125">
        <f>C17*B8*11</f>
        <v>28583.279999999999</v>
      </c>
    </row>
    <row r="18" spans="1:4" ht="12.75" customHeight="1">
      <c r="A18" s="6" t="s">
        <v>13</v>
      </c>
      <c r="B18" s="74" t="s">
        <v>76</v>
      </c>
      <c r="C18" s="118"/>
      <c r="D18" s="126"/>
    </row>
    <row r="19" spans="1:4" ht="14.25" customHeight="1">
      <c r="A19" s="6" t="s">
        <v>14</v>
      </c>
      <c r="B19" s="74" t="s">
        <v>76</v>
      </c>
      <c r="C19" s="118"/>
      <c r="D19" s="126"/>
    </row>
    <row r="20" spans="1:4" ht="13.5" customHeight="1">
      <c r="A20" s="6" t="s">
        <v>15</v>
      </c>
      <c r="B20" s="74" t="s">
        <v>77</v>
      </c>
      <c r="C20" s="118"/>
      <c r="D20" s="126"/>
    </row>
    <row r="21" spans="1:4" ht="12.75" customHeight="1">
      <c r="A21" s="41" t="s">
        <v>94</v>
      </c>
      <c r="B21" s="74"/>
      <c r="C21" s="118"/>
      <c r="D21" s="126"/>
    </row>
    <row r="22" spans="1:4" ht="30" customHeight="1">
      <c r="A22" s="6" t="s">
        <v>16</v>
      </c>
      <c r="B22" s="74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C24*B8*11</f>
        <v>2646.6000000000004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0.54</v>
      </c>
      <c r="D28" s="117">
        <f>C28*B8*11</f>
        <v>7145.82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89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1.25" customHeight="1">
      <c r="A34" s="130" t="s">
        <v>30</v>
      </c>
      <c r="B34" s="130"/>
      <c r="C34" s="130"/>
      <c r="D34" s="130"/>
    </row>
    <row r="35" spans="1:4" ht="35.25" customHeight="1">
      <c r="A35" s="9" t="s">
        <v>31</v>
      </c>
      <c r="B35" s="22" t="s">
        <v>23</v>
      </c>
      <c r="C35" s="117">
        <v>0.62</v>
      </c>
      <c r="D35" s="118">
        <f>C35*11*B8</f>
        <v>8204.4600000000009</v>
      </c>
    </row>
    <row r="36" spans="1:4" ht="38.25" customHeight="1">
      <c r="A36" s="9" t="s">
        <v>32</v>
      </c>
      <c r="B36" s="22" t="s">
        <v>23</v>
      </c>
      <c r="C36" s="117"/>
      <c r="D36" s="118"/>
    </row>
    <row r="37" spans="1:4" ht="15" customHeight="1">
      <c r="A37" s="10" t="s">
        <v>33</v>
      </c>
      <c r="B37" s="22" t="s">
        <v>23</v>
      </c>
      <c r="C37" s="117"/>
      <c r="D37" s="118"/>
    </row>
    <row r="38" spans="1:4" ht="12.75" customHeight="1">
      <c r="A38" s="128" t="s">
        <v>34</v>
      </c>
      <c r="B38" s="128"/>
      <c r="C38" s="128"/>
      <c r="D38" s="128"/>
    </row>
    <row r="39" spans="1:4" ht="29.25" customHeight="1">
      <c r="A39" s="9" t="s">
        <v>35</v>
      </c>
      <c r="B39" s="22" t="s">
        <v>78</v>
      </c>
      <c r="C39" s="117">
        <v>3.35</v>
      </c>
      <c r="D39" s="117">
        <f>C39*11*B8-55.83+64.93</f>
        <v>44339.65</v>
      </c>
    </row>
    <row r="40" spans="1:4" ht="14.25" customHeight="1">
      <c r="A40" s="9" t="s">
        <v>36</v>
      </c>
      <c r="B40" s="22" t="s">
        <v>82</v>
      </c>
      <c r="C40" s="117"/>
      <c r="D40" s="117"/>
    </row>
    <row r="41" spans="1:4" ht="17.25" customHeight="1">
      <c r="A41" s="9" t="s">
        <v>37</v>
      </c>
      <c r="B41" s="22" t="s">
        <v>82</v>
      </c>
      <c r="C41" s="117"/>
      <c r="D41" s="117"/>
    </row>
    <row r="42" spans="1:4" ht="24.75" customHeight="1">
      <c r="A42" s="9" t="s">
        <v>38</v>
      </c>
      <c r="B42" s="22" t="s">
        <v>83</v>
      </c>
      <c r="C42" s="117"/>
      <c r="D42" s="117"/>
    </row>
    <row r="43" spans="1:4" ht="30" customHeight="1">
      <c r="A43" s="9" t="s">
        <v>39</v>
      </c>
      <c r="B43" s="22" t="s">
        <v>83</v>
      </c>
      <c r="C43" s="117"/>
      <c r="D43" s="117"/>
    </row>
    <row r="44" spans="1:4" ht="12.75" customHeight="1">
      <c r="A44" s="75" t="s">
        <v>96</v>
      </c>
      <c r="B44" s="6"/>
      <c r="C44" s="117"/>
      <c r="D44" s="117"/>
    </row>
    <row r="45" spans="1:4" ht="35.25" customHeight="1">
      <c r="A45" s="9" t="s">
        <v>41</v>
      </c>
      <c r="B45" s="22" t="s">
        <v>80</v>
      </c>
      <c r="C45" s="117"/>
      <c r="D45" s="117"/>
    </row>
    <row r="46" spans="1:4" ht="14.25" customHeight="1">
      <c r="A46" s="9" t="s">
        <v>42</v>
      </c>
      <c r="B46" s="22" t="s">
        <v>25</v>
      </c>
      <c r="C46" s="117"/>
      <c r="D46" s="117"/>
    </row>
    <row r="47" spans="1:4" ht="14.25" customHeight="1">
      <c r="A47" s="9" t="s">
        <v>43</v>
      </c>
      <c r="B47" s="23" t="s">
        <v>25</v>
      </c>
      <c r="C47" s="117"/>
      <c r="D47" s="117"/>
    </row>
    <row r="48" spans="1:4" ht="13.5" customHeight="1">
      <c r="A48" s="9" t="s">
        <v>44</v>
      </c>
      <c r="B48" s="23" t="s">
        <v>25</v>
      </c>
      <c r="C48" s="117"/>
      <c r="D48" s="117"/>
    </row>
    <row r="49" spans="1:4" ht="13.5" customHeight="1">
      <c r="A49" s="9" t="s">
        <v>45</v>
      </c>
      <c r="B49" s="21" t="s">
        <v>184</v>
      </c>
      <c r="C49" s="117"/>
      <c r="D49" s="117"/>
    </row>
    <row r="50" spans="1:4" ht="36.75" customHeight="1">
      <c r="A50" s="10" t="s">
        <v>46</v>
      </c>
      <c r="B50" s="22" t="s">
        <v>23</v>
      </c>
      <c r="C50" s="117"/>
      <c r="D50" s="117"/>
    </row>
    <row r="51" spans="1:4">
      <c r="A51" s="128" t="s">
        <v>47</v>
      </c>
      <c r="B51" s="128"/>
      <c r="C51" s="128"/>
      <c r="D51" s="128"/>
    </row>
    <row r="52" spans="1:4" ht="15.75" customHeight="1">
      <c r="A52" s="9" t="s">
        <v>48</v>
      </c>
      <c r="B52" s="22" t="s">
        <v>84</v>
      </c>
      <c r="C52" s="118">
        <v>1.54</v>
      </c>
      <c r="D52" s="117">
        <f>C52*B8*11</f>
        <v>20378.82</v>
      </c>
    </row>
    <row r="53" spans="1:4" ht="12.75" customHeight="1">
      <c r="A53" s="9" t="s">
        <v>49</v>
      </c>
      <c r="B53" s="22" t="s">
        <v>84</v>
      </c>
      <c r="C53" s="118"/>
      <c r="D53" s="117"/>
    </row>
    <row r="54" spans="1:4" ht="25.5" customHeight="1">
      <c r="A54" s="9" t="s">
        <v>50</v>
      </c>
      <c r="B54" s="22" t="s">
        <v>84</v>
      </c>
      <c r="C54" s="118"/>
      <c r="D54" s="117"/>
    </row>
    <row r="55" spans="1:4" ht="16.5" customHeight="1">
      <c r="A55" s="9" t="s">
        <v>51</v>
      </c>
      <c r="B55" s="22" t="s">
        <v>84</v>
      </c>
      <c r="C55" s="118"/>
      <c r="D55" s="117"/>
    </row>
    <row r="56" spans="1:4" ht="39.75" customHeight="1">
      <c r="A56" s="10" t="s">
        <v>52</v>
      </c>
      <c r="B56" s="22" t="s">
        <v>23</v>
      </c>
      <c r="C56" s="118"/>
      <c r="D56" s="117"/>
    </row>
    <row r="57" spans="1:4" ht="16.5" customHeight="1">
      <c r="A57" s="10" t="s">
        <v>53</v>
      </c>
      <c r="B57" s="23" t="s">
        <v>85</v>
      </c>
      <c r="C57" s="118"/>
      <c r="D57" s="117"/>
    </row>
    <row r="58" spans="1:4">
      <c r="A58" s="121" t="s">
        <v>86</v>
      </c>
      <c r="B58" s="122"/>
      <c r="C58" s="122"/>
      <c r="D58" s="123"/>
    </row>
    <row r="59" spans="1:4" ht="26.25" customHeight="1">
      <c r="A59" s="139" t="s">
        <v>97</v>
      </c>
      <c r="B59" s="141" t="s">
        <v>87</v>
      </c>
      <c r="C59" s="118">
        <v>2.41</v>
      </c>
      <c r="D59" s="117">
        <f>C59*B8*11</f>
        <v>31891.53</v>
      </c>
    </row>
    <row r="60" spans="1:4" ht="13.5" customHeight="1">
      <c r="A60" s="140"/>
      <c r="B60" s="141"/>
      <c r="C60" s="118"/>
      <c r="D60" s="117"/>
    </row>
    <row r="61" spans="1:4" ht="15" customHeight="1">
      <c r="A61" s="121" t="s">
        <v>56</v>
      </c>
      <c r="B61" s="122"/>
      <c r="C61" s="122"/>
      <c r="D61" s="123"/>
    </row>
    <row r="62" spans="1:4" ht="16.5" customHeight="1">
      <c r="A62" s="6" t="s">
        <v>91</v>
      </c>
      <c r="B62" s="21" t="s">
        <v>88</v>
      </c>
      <c r="C62" s="131">
        <v>2.14</v>
      </c>
      <c r="D62" s="133">
        <v>28319.98</v>
      </c>
    </row>
    <row r="63" spans="1:4">
      <c r="A63" s="6" t="s">
        <v>92</v>
      </c>
      <c r="B63" s="21" t="s">
        <v>88</v>
      </c>
      <c r="C63" s="132"/>
      <c r="D63" s="134"/>
    </row>
    <row r="64" spans="1:4" ht="15" customHeight="1">
      <c r="A64" s="6" t="s">
        <v>93</v>
      </c>
      <c r="B64" s="21" t="s">
        <v>88</v>
      </c>
      <c r="C64" s="130"/>
      <c r="D64" s="135"/>
    </row>
    <row r="65" spans="1:4" ht="38.25" customHeight="1">
      <c r="A65" s="6" t="s">
        <v>165</v>
      </c>
      <c r="B65" s="22" t="s">
        <v>23</v>
      </c>
      <c r="C65" s="72">
        <v>4.22</v>
      </c>
      <c r="D65" s="72">
        <v>53929.95</v>
      </c>
    </row>
    <row r="66" spans="1:4">
      <c r="A66" s="75" t="s">
        <v>57</v>
      </c>
      <c r="B66" s="23"/>
      <c r="C66" s="28">
        <f>C65+C62+C59+C52+C39+C35+C28+C24+C17+C14+C13</f>
        <v>19.359999999999996</v>
      </c>
      <c r="D66" s="57">
        <f>D65+D62+D59+D52+D39+D35+D28+D24+D14+D17+D13</f>
        <v>254288.03</v>
      </c>
    </row>
    <row r="68" spans="1:4">
      <c r="D68" s="42"/>
    </row>
    <row r="69" spans="1:4">
      <c r="D69" s="42"/>
    </row>
    <row r="70" spans="1:4">
      <c r="D70" s="42"/>
    </row>
    <row r="71" spans="1:4">
      <c r="D71" s="42"/>
    </row>
  </sheetData>
  <mergeCells count="28">
    <mergeCell ref="A61:D61"/>
    <mergeCell ref="C62:C64"/>
    <mergeCell ref="D62:D64"/>
    <mergeCell ref="A51:D51"/>
    <mergeCell ref="C52:C57"/>
    <mergeCell ref="D52:D57"/>
    <mergeCell ref="A58:D58"/>
    <mergeCell ref="A59:A60"/>
    <mergeCell ref="B59:B60"/>
    <mergeCell ref="C59:C60"/>
    <mergeCell ref="D59:D60"/>
    <mergeCell ref="A34:D34"/>
    <mergeCell ref="C35:C37"/>
    <mergeCell ref="D35:D37"/>
    <mergeCell ref="A38:D38"/>
    <mergeCell ref="C39:C50"/>
    <mergeCell ref="D39:D50"/>
    <mergeCell ref="A26:D26"/>
    <mergeCell ref="A27:D27"/>
    <mergeCell ref="C28:C33"/>
    <mergeCell ref="D28:D33"/>
    <mergeCell ref="A12:D12"/>
    <mergeCell ref="A15:D15"/>
    <mergeCell ref="C17:C22"/>
    <mergeCell ref="D17:D22"/>
    <mergeCell ref="A23:D23"/>
    <mergeCell ref="C24:C25"/>
    <mergeCell ref="D24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86"/>
  <sheetViews>
    <sheetView topLeftCell="A64" workbookViewId="0">
      <selection activeCell="A17" sqref="A17:XFD17"/>
    </sheetView>
  </sheetViews>
  <sheetFormatPr defaultRowHeight="15"/>
  <cols>
    <col min="1" max="1" width="90.1406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172</v>
      </c>
      <c r="B2" s="2"/>
      <c r="C2" s="2"/>
      <c r="D2" s="2"/>
    </row>
    <row r="3" spans="1:4">
      <c r="A3" s="1" t="s">
        <v>173</v>
      </c>
      <c r="B3" s="2"/>
      <c r="C3" s="2"/>
      <c r="D3" s="2"/>
    </row>
    <row r="4" spans="1:4">
      <c r="A4" s="25" t="s">
        <v>59</v>
      </c>
      <c r="B4" s="2">
        <v>1990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1726.2</v>
      </c>
      <c r="C8" s="2"/>
      <c r="D8" s="2"/>
    </row>
    <row r="9" spans="1:4">
      <c r="A9" s="25" t="s">
        <v>63</v>
      </c>
      <c r="B9" s="2">
        <v>171.3</v>
      </c>
      <c r="C9" s="2"/>
      <c r="D9" s="2"/>
    </row>
    <row r="10" spans="1:4">
      <c r="A10" s="25" t="s">
        <v>74</v>
      </c>
      <c r="B10" s="2">
        <v>445</v>
      </c>
      <c r="C10" s="2"/>
      <c r="D10" s="2"/>
    </row>
    <row r="11" spans="1:4" ht="36.75">
      <c r="A11" s="70" t="s">
        <v>1</v>
      </c>
      <c r="B11" s="70" t="s">
        <v>2</v>
      </c>
      <c r="C11" s="70" t="s">
        <v>3</v>
      </c>
      <c r="D11" s="70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70" t="s">
        <v>7</v>
      </c>
      <c r="C13" s="69">
        <v>0.14000000000000001</v>
      </c>
      <c r="D13" s="29">
        <f>C13*10*B8</f>
        <v>2416.6800000000003</v>
      </c>
    </row>
    <row r="14" spans="1:4" ht="75.75" customHeight="1">
      <c r="A14" s="6" t="s">
        <v>90</v>
      </c>
      <c r="B14" s="70" t="s">
        <v>9</v>
      </c>
      <c r="C14" s="26">
        <v>2.79</v>
      </c>
      <c r="D14" s="29">
        <f>C14*10*B8</f>
        <v>48160.979999999996</v>
      </c>
    </row>
    <row r="15" spans="1:4">
      <c r="A15" s="6" t="s">
        <v>10</v>
      </c>
      <c r="B15" s="70"/>
      <c r="C15" s="26"/>
      <c r="D15" s="30"/>
    </row>
    <row r="16" spans="1:4">
      <c r="A16" s="6" t="s">
        <v>179</v>
      </c>
      <c r="B16" s="74" t="s">
        <v>182</v>
      </c>
      <c r="C16" s="46">
        <f>3759/10/B8</f>
        <v>0.21776155717761556</v>
      </c>
      <c r="D16" s="30">
        <f>C16*10*B8</f>
        <v>3759</v>
      </c>
    </row>
    <row r="17" spans="1:4">
      <c r="A17" s="6" t="s">
        <v>177</v>
      </c>
      <c r="B17" s="74" t="s">
        <v>107</v>
      </c>
      <c r="C17" s="46">
        <f>3759/10/B8</f>
        <v>0.21776155717761556</v>
      </c>
      <c r="D17" s="30">
        <f>C17*10*B8</f>
        <v>3759</v>
      </c>
    </row>
    <row r="18" spans="1:4">
      <c r="A18" s="6" t="s">
        <v>180</v>
      </c>
      <c r="B18" s="74" t="s">
        <v>108</v>
      </c>
      <c r="C18" s="46">
        <f>5960/10/B8</f>
        <v>0.34526706059552775</v>
      </c>
      <c r="D18" s="30">
        <f>C18*10*B8</f>
        <v>5960</v>
      </c>
    </row>
    <row r="19" spans="1:4" ht="16.5" customHeight="1">
      <c r="A19" s="7" t="s">
        <v>176</v>
      </c>
      <c r="B19" s="21" t="s">
        <v>89</v>
      </c>
      <c r="C19" s="46">
        <f>3980*4/10/B8</f>
        <v>0.92225698065114126</v>
      </c>
      <c r="D19" s="30">
        <f>C19*10*B8</f>
        <v>15920</v>
      </c>
    </row>
    <row r="20" spans="1:4" ht="16.5" customHeight="1">
      <c r="A20" s="7" t="s">
        <v>178</v>
      </c>
      <c r="B20" s="21" t="s">
        <v>89</v>
      </c>
      <c r="C20" s="27">
        <v>0.2</v>
      </c>
      <c r="D20" s="29">
        <f>C20*B8*10</f>
        <v>3452.4</v>
      </c>
    </row>
    <row r="21" spans="1:4" ht="12.75" customHeight="1">
      <c r="A21" s="7" t="s">
        <v>175</v>
      </c>
      <c r="B21" s="21" t="s">
        <v>89</v>
      </c>
      <c r="C21" s="27">
        <v>1.34</v>
      </c>
      <c r="D21" s="29">
        <f>C21*10*B8</f>
        <v>23131.08</v>
      </c>
    </row>
    <row r="22" spans="1:4">
      <c r="A22" s="124" t="s">
        <v>11</v>
      </c>
      <c r="B22" s="124"/>
      <c r="C22" s="124"/>
      <c r="D22" s="124"/>
    </row>
    <row r="23" spans="1:4" ht="13.5" customHeight="1">
      <c r="A23" s="41" t="s">
        <v>98</v>
      </c>
      <c r="B23" s="71"/>
      <c r="C23" s="71"/>
      <c r="D23" s="71"/>
    </row>
    <row r="24" spans="1:4" ht="13.5" customHeight="1">
      <c r="A24" s="6" t="s">
        <v>12</v>
      </c>
      <c r="B24" s="70" t="s">
        <v>76</v>
      </c>
      <c r="C24" s="118">
        <v>2.16</v>
      </c>
      <c r="D24" s="125">
        <f>C24*B8*10</f>
        <v>37285.920000000006</v>
      </c>
    </row>
    <row r="25" spans="1:4" ht="12.75" customHeight="1">
      <c r="A25" s="6" t="s">
        <v>13</v>
      </c>
      <c r="B25" s="70" t="s">
        <v>76</v>
      </c>
      <c r="C25" s="118"/>
      <c r="D25" s="126"/>
    </row>
    <row r="26" spans="1:4" ht="14.25" customHeight="1">
      <c r="A26" s="6" t="s">
        <v>14</v>
      </c>
      <c r="B26" s="70" t="s">
        <v>76</v>
      </c>
      <c r="C26" s="118"/>
      <c r="D26" s="126"/>
    </row>
    <row r="27" spans="1:4" ht="13.5" customHeight="1">
      <c r="A27" s="6" t="s">
        <v>15</v>
      </c>
      <c r="B27" s="70" t="s">
        <v>77</v>
      </c>
      <c r="C27" s="118"/>
      <c r="D27" s="126"/>
    </row>
    <row r="28" spans="1:4" ht="12.75" customHeight="1">
      <c r="A28" s="41" t="s">
        <v>94</v>
      </c>
      <c r="B28" s="70"/>
      <c r="C28" s="118"/>
      <c r="D28" s="126"/>
    </row>
    <row r="29" spans="1:4" ht="30" customHeight="1">
      <c r="A29" s="6" t="s">
        <v>16</v>
      </c>
      <c r="B29" s="70" t="s">
        <v>95</v>
      </c>
      <c r="C29" s="118"/>
      <c r="D29" s="127"/>
    </row>
    <row r="30" spans="1:4" ht="12.75" customHeight="1">
      <c r="A30" s="121" t="s">
        <v>17</v>
      </c>
      <c r="B30" s="122"/>
      <c r="C30" s="122"/>
      <c r="D30" s="123"/>
    </row>
    <row r="31" spans="1:4" ht="12" customHeight="1">
      <c r="A31" s="7" t="s">
        <v>18</v>
      </c>
      <c r="B31" s="21" t="s">
        <v>79</v>
      </c>
      <c r="C31" s="118">
        <v>0.2</v>
      </c>
      <c r="D31" s="128">
        <f>C31*B8*10</f>
        <v>3452.4</v>
      </c>
    </row>
    <row r="32" spans="1:4" ht="12" customHeight="1">
      <c r="A32" s="7" t="s">
        <v>19</v>
      </c>
      <c r="B32" s="21" t="s">
        <v>78</v>
      </c>
      <c r="C32" s="118"/>
      <c r="D32" s="128"/>
    </row>
    <row r="33" spans="1:4" ht="13.5" customHeight="1">
      <c r="A33" s="121" t="s">
        <v>20</v>
      </c>
      <c r="B33" s="122"/>
      <c r="C33" s="122"/>
      <c r="D33" s="123"/>
    </row>
    <row r="34" spans="1:4">
      <c r="A34" s="128" t="s">
        <v>21</v>
      </c>
      <c r="B34" s="128"/>
      <c r="C34" s="128"/>
      <c r="D34" s="128"/>
    </row>
    <row r="35" spans="1:4" ht="37.5" customHeight="1">
      <c r="A35" s="8" t="s">
        <v>22</v>
      </c>
      <c r="B35" s="22" t="s">
        <v>80</v>
      </c>
      <c r="C35" s="118">
        <v>0.61</v>
      </c>
      <c r="D35" s="117">
        <f>C35*B8*10</f>
        <v>10529.82</v>
      </c>
    </row>
    <row r="36" spans="1:4" ht="15" customHeight="1">
      <c r="A36" s="9" t="s">
        <v>24</v>
      </c>
      <c r="B36" s="23" t="s">
        <v>81</v>
      </c>
      <c r="C36" s="118"/>
      <c r="D36" s="126"/>
    </row>
    <row r="37" spans="1:4" ht="13.5" customHeight="1">
      <c r="A37" s="9" t="s">
        <v>26</v>
      </c>
      <c r="B37" s="23" t="s">
        <v>81</v>
      </c>
      <c r="C37" s="118"/>
      <c r="D37" s="126"/>
    </row>
    <row r="38" spans="1:4" ht="36" customHeight="1">
      <c r="A38" s="9" t="s">
        <v>27</v>
      </c>
      <c r="B38" s="22" t="s">
        <v>23</v>
      </c>
      <c r="C38" s="118"/>
      <c r="D38" s="126"/>
    </row>
    <row r="39" spans="1:4" ht="14.25" customHeight="1">
      <c r="A39" s="9" t="s">
        <v>28</v>
      </c>
      <c r="B39" s="22" t="s">
        <v>25</v>
      </c>
      <c r="C39" s="118"/>
      <c r="D39" s="126"/>
    </row>
    <row r="40" spans="1:4" ht="33.75" customHeight="1">
      <c r="A40" s="24" t="s">
        <v>29</v>
      </c>
      <c r="B40" s="22" t="s">
        <v>23</v>
      </c>
      <c r="C40" s="129"/>
      <c r="D40" s="127"/>
    </row>
    <row r="41" spans="1:4" ht="15.75" customHeight="1">
      <c r="A41" s="128" t="s">
        <v>66</v>
      </c>
      <c r="B41" s="128"/>
      <c r="C41" s="128"/>
      <c r="D41" s="128"/>
    </row>
    <row r="42" spans="1:4" ht="36.75" customHeight="1">
      <c r="A42" s="9" t="s">
        <v>67</v>
      </c>
      <c r="B42" s="22" t="s">
        <v>80</v>
      </c>
      <c r="C42" s="117">
        <v>1</v>
      </c>
      <c r="D42" s="118">
        <f>C42*B8*10</f>
        <v>17262</v>
      </c>
    </row>
    <row r="43" spans="1:4" ht="14.25" customHeight="1">
      <c r="A43" s="9" t="s">
        <v>68</v>
      </c>
      <c r="B43" s="22" t="s">
        <v>81</v>
      </c>
      <c r="C43" s="117"/>
      <c r="D43" s="119"/>
    </row>
    <row r="44" spans="1:4" ht="14.25" customHeight="1">
      <c r="A44" s="9" t="s">
        <v>69</v>
      </c>
      <c r="B44" s="22" t="s">
        <v>81</v>
      </c>
      <c r="C44" s="117"/>
      <c r="D44" s="119"/>
    </row>
    <row r="45" spans="1:4" ht="24" customHeight="1">
      <c r="A45" s="9" t="s">
        <v>70</v>
      </c>
      <c r="B45" s="22" t="s">
        <v>80</v>
      </c>
      <c r="C45" s="117"/>
      <c r="D45" s="119"/>
    </row>
    <row r="46" spans="1:4" ht="25.5" customHeight="1">
      <c r="A46" s="10" t="s">
        <v>71</v>
      </c>
      <c r="B46" s="22" t="s">
        <v>80</v>
      </c>
      <c r="C46" s="117"/>
      <c r="D46" s="119"/>
    </row>
    <row r="47" spans="1:4" ht="14.25" customHeight="1">
      <c r="A47" s="9" t="s">
        <v>72</v>
      </c>
      <c r="B47" s="22" t="s">
        <v>25</v>
      </c>
      <c r="C47" s="117"/>
      <c r="D47" s="120"/>
    </row>
    <row r="48" spans="1:4" ht="11.25" customHeight="1">
      <c r="A48" s="130" t="s">
        <v>30</v>
      </c>
      <c r="B48" s="130"/>
      <c r="C48" s="130"/>
      <c r="D48" s="130"/>
    </row>
    <row r="49" spans="1:4" ht="35.25" customHeight="1">
      <c r="A49" s="9" t="s">
        <v>31</v>
      </c>
      <c r="B49" s="22" t="s">
        <v>23</v>
      </c>
      <c r="C49" s="117">
        <v>0.69</v>
      </c>
      <c r="D49" s="118">
        <f>C49*B8*10</f>
        <v>11910.779999999999</v>
      </c>
    </row>
    <row r="50" spans="1:4" ht="38.25" customHeight="1">
      <c r="A50" s="9" t="s">
        <v>32</v>
      </c>
      <c r="B50" s="22" t="s">
        <v>23</v>
      </c>
      <c r="C50" s="117"/>
      <c r="D50" s="118"/>
    </row>
    <row r="51" spans="1:4" ht="15" customHeight="1">
      <c r="A51" s="10" t="s">
        <v>33</v>
      </c>
      <c r="B51" s="22" t="s">
        <v>23</v>
      </c>
      <c r="C51" s="117"/>
      <c r="D51" s="118"/>
    </row>
    <row r="52" spans="1:4" ht="12.75" customHeight="1">
      <c r="A52" s="128" t="s">
        <v>34</v>
      </c>
      <c r="B52" s="128"/>
      <c r="C52" s="128"/>
      <c r="D52" s="128"/>
    </row>
    <row r="53" spans="1:4" ht="29.25" customHeight="1">
      <c r="A53" s="9" t="s">
        <v>35</v>
      </c>
      <c r="B53" s="22" t="s">
        <v>78</v>
      </c>
      <c r="C53" s="117">
        <v>1.25</v>
      </c>
      <c r="D53" s="117">
        <f>C53*10*B8</f>
        <v>21577.5</v>
      </c>
    </row>
    <row r="54" spans="1:4" ht="14.25" customHeight="1">
      <c r="A54" s="9" t="s">
        <v>36</v>
      </c>
      <c r="B54" s="22" t="s">
        <v>82</v>
      </c>
      <c r="C54" s="117"/>
      <c r="D54" s="117"/>
    </row>
    <row r="55" spans="1:4" ht="17.25" customHeight="1">
      <c r="A55" s="9" t="s">
        <v>37</v>
      </c>
      <c r="B55" s="22" t="s">
        <v>82</v>
      </c>
      <c r="C55" s="117"/>
      <c r="D55" s="117"/>
    </row>
    <row r="56" spans="1:4" ht="24.75" customHeight="1">
      <c r="A56" s="9" t="s">
        <v>38</v>
      </c>
      <c r="B56" s="22" t="s">
        <v>83</v>
      </c>
      <c r="C56" s="117"/>
      <c r="D56" s="117"/>
    </row>
    <row r="57" spans="1:4" ht="30" customHeight="1">
      <c r="A57" s="9" t="s">
        <v>39</v>
      </c>
      <c r="B57" s="22" t="s">
        <v>83</v>
      </c>
      <c r="C57" s="117"/>
      <c r="D57" s="117"/>
    </row>
    <row r="58" spans="1:4" ht="12.75" customHeight="1">
      <c r="A58" s="71" t="s">
        <v>96</v>
      </c>
      <c r="B58" s="6"/>
      <c r="C58" s="117"/>
      <c r="D58" s="117"/>
    </row>
    <row r="59" spans="1:4" ht="35.25" customHeight="1">
      <c r="A59" s="9" t="s">
        <v>41</v>
      </c>
      <c r="B59" s="22" t="s">
        <v>80</v>
      </c>
      <c r="C59" s="117"/>
      <c r="D59" s="117"/>
    </row>
    <row r="60" spans="1:4" ht="14.25" customHeight="1">
      <c r="A60" s="9" t="s">
        <v>42</v>
      </c>
      <c r="B60" s="22" t="s">
        <v>25</v>
      </c>
      <c r="C60" s="117"/>
      <c r="D60" s="117"/>
    </row>
    <row r="61" spans="1:4" ht="14.25" customHeight="1">
      <c r="A61" s="9" t="s">
        <v>43</v>
      </c>
      <c r="B61" s="23" t="s">
        <v>25</v>
      </c>
      <c r="C61" s="117"/>
      <c r="D61" s="117"/>
    </row>
    <row r="62" spans="1:4" ht="13.5" customHeight="1">
      <c r="A62" s="9" t="s">
        <v>44</v>
      </c>
      <c r="B62" s="23" t="s">
        <v>25</v>
      </c>
      <c r="C62" s="117"/>
      <c r="D62" s="117"/>
    </row>
    <row r="63" spans="1:4" ht="13.5" customHeight="1">
      <c r="A63" s="9" t="s">
        <v>45</v>
      </c>
      <c r="B63" s="21" t="s">
        <v>174</v>
      </c>
      <c r="C63" s="117"/>
      <c r="D63" s="117"/>
    </row>
    <row r="64" spans="1:4" ht="36.75" customHeight="1">
      <c r="A64" s="10" t="s">
        <v>46</v>
      </c>
      <c r="B64" s="22" t="s">
        <v>23</v>
      </c>
      <c r="C64" s="117"/>
      <c r="D64" s="117"/>
    </row>
    <row r="65" spans="1:4">
      <c r="A65" s="128" t="s">
        <v>47</v>
      </c>
      <c r="B65" s="128"/>
      <c r="C65" s="128"/>
      <c r="D65" s="128"/>
    </row>
    <row r="66" spans="1:4" ht="15.75" customHeight="1">
      <c r="A66" s="9" t="s">
        <v>48</v>
      </c>
      <c r="B66" s="22" t="s">
        <v>84</v>
      </c>
      <c r="C66" s="118">
        <v>0.64</v>
      </c>
      <c r="D66" s="117">
        <f>C66*B8*10</f>
        <v>11047.68</v>
      </c>
    </row>
    <row r="67" spans="1:4" ht="12.75" customHeight="1">
      <c r="A67" s="9" t="s">
        <v>49</v>
      </c>
      <c r="B67" s="22" t="s">
        <v>84</v>
      </c>
      <c r="C67" s="118"/>
      <c r="D67" s="117"/>
    </row>
    <row r="68" spans="1:4" ht="25.5" customHeight="1">
      <c r="A68" s="9" t="s">
        <v>50</v>
      </c>
      <c r="B68" s="22" t="s">
        <v>84</v>
      </c>
      <c r="C68" s="118"/>
      <c r="D68" s="117"/>
    </row>
    <row r="69" spans="1:4" ht="16.5" customHeight="1">
      <c r="A69" s="9" t="s">
        <v>51</v>
      </c>
      <c r="B69" s="22" t="s">
        <v>84</v>
      </c>
      <c r="C69" s="118"/>
      <c r="D69" s="117"/>
    </row>
    <row r="70" spans="1:4" ht="39.75" customHeight="1">
      <c r="A70" s="10" t="s">
        <v>52</v>
      </c>
      <c r="B70" s="22" t="s">
        <v>23</v>
      </c>
      <c r="C70" s="118"/>
      <c r="D70" s="117"/>
    </row>
    <row r="71" spans="1:4" ht="16.5" customHeight="1">
      <c r="A71" s="10" t="s">
        <v>53</v>
      </c>
      <c r="B71" s="23" t="s">
        <v>85</v>
      </c>
      <c r="C71" s="118"/>
      <c r="D71" s="117"/>
    </row>
    <row r="72" spans="1:4">
      <c r="A72" s="121" t="s">
        <v>86</v>
      </c>
      <c r="B72" s="122"/>
      <c r="C72" s="122"/>
      <c r="D72" s="123"/>
    </row>
    <row r="73" spans="1:4" ht="26.25" customHeight="1">
      <c r="A73" s="139" t="s">
        <v>97</v>
      </c>
      <c r="B73" s="141" t="s">
        <v>87</v>
      </c>
      <c r="C73" s="118">
        <v>2.41</v>
      </c>
      <c r="D73" s="117">
        <f>C73*B8*10</f>
        <v>41601.420000000006</v>
      </c>
    </row>
    <row r="74" spans="1:4" ht="13.5" customHeight="1">
      <c r="A74" s="140"/>
      <c r="B74" s="141"/>
      <c r="C74" s="118"/>
      <c r="D74" s="117"/>
    </row>
    <row r="75" spans="1:4" ht="15" customHeight="1">
      <c r="A75" s="121" t="s">
        <v>56</v>
      </c>
      <c r="B75" s="122"/>
      <c r="C75" s="122"/>
      <c r="D75" s="123"/>
    </row>
    <row r="76" spans="1:4" ht="16.5" customHeight="1">
      <c r="A76" s="6" t="s">
        <v>91</v>
      </c>
      <c r="B76" s="21" t="s">
        <v>88</v>
      </c>
      <c r="C76" s="131">
        <v>2.14</v>
      </c>
      <c r="D76" s="133">
        <v>36942.730000000003</v>
      </c>
    </row>
    <row r="77" spans="1:4">
      <c r="A77" s="6" t="s">
        <v>92</v>
      </c>
      <c r="B77" s="21" t="s">
        <v>88</v>
      </c>
      <c r="C77" s="132"/>
      <c r="D77" s="134"/>
    </row>
    <row r="78" spans="1:4" ht="15" customHeight="1">
      <c r="A78" s="6" t="s">
        <v>93</v>
      </c>
      <c r="B78" s="21" t="s">
        <v>88</v>
      </c>
      <c r="C78" s="130"/>
      <c r="D78" s="135"/>
    </row>
    <row r="79" spans="1:4" ht="38.25" customHeight="1">
      <c r="A79" s="6" t="s">
        <v>165</v>
      </c>
      <c r="B79" s="22" t="s">
        <v>23</v>
      </c>
      <c r="C79" s="68">
        <v>4.3499999999999996</v>
      </c>
      <c r="D79" s="68">
        <v>72286.880000000005</v>
      </c>
    </row>
    <row r="80" spans="1:4" ht="18" customHeight="1">
      <c r="A80" s="6" t="s">
        <v>181</v>
      </c>
      <c r="B80" s="22"/>
      <c r="C80" s="68"/>
      <c r="D80" s="68">
        <v>-8784.14</v>
      </c>
    </row>
    <row r="81" spans="1:4">
      <c r="A81" s="71" t="s">
        <v>57</v>
      </c>
      <c r="B81" s="23"/>
      <c r="C81" s="28">
        <f>C79+C76+C73+C66+C53+C49+C42+C35+C31+C24+C21+C20+C19+C18+C17+C16+C14+C13</f>
        <v>21.623047155601903</v>
      </c>
      <c r="D81" s="57">
        <f>D79+D80+D76+D73+D66+D53+D49+D42+D35+D31+D24+D21+D20+D19+D18+D17+D16+D14+D13</f>
        <v>361672.13</v>
      </c>
    </row>
    <row r="83" spans="1:4">
      <c r="D83" s="42"/>
    </row>
    <row r="84" spans="1:4">
      <c r="D84" s="42"/>
    </row>
    <row r="85" spans="1:4">
      <c r="D85" s="42"/>
    </row>
    <row r="86" spans="1:4">
      <c r="D86" s="42"/>
    </row>
  </sheetData>
  <mergeCells count="31">
    <mergeCell ref="C42:C47"/>
    <mergeCell ref="D42:D47"/>
    <mergeCell ref="A12:D12"/>
    <mergeCell ref="A22:D22"/>
    <mergeCell ref="C24:C29"/>
    <mergeCell ref="D24:D29"/>
    <mergeCell ref="A30:D30"/>
    <mergeCell ref="C31:C32"/>
    <mergeCell ref="D31:D32"/>
    <mergeCell ref="A33:D33"/>
    <mergeCell ref="A34:D34"/>
    <mergeCell ref="C35:C40"/>
    <mergeCell ref="D35:D40"/>
    <mergeCell ref="A41:D41"/>
    <mergeCell ref="A48:D48"/>
    <mergeCell ref="C49:C51"/>
    <mergeCell ref="D49:D51"/>
    <mergeCell ref="A52:D52"/>
    <mergeCell ref="C53:C64"/>
    <mergeCell ref="D53:D64"/>
    <mergeCell ref="A75:D75"/>
    <mergeCell ref="C76:C78"/>
    <mergeCell ref="D76:D78"/>
    <mergeCell ref="A65:D65"/>
    <mergeCell ref="C66:C71"/>
    <mergeCell ref="D66:D71"/>
    <mergeCell ref="A72:D72"/>
    <mergeCell ref="A73:A74"/>
    <mergeCell ref="B73:B74"/>
    <mergeCell ref="C73:C74"/>
    <mergeCell ref="D73:D7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78"/>
  <sheetViews>
    <sheetView topLeftCell="A52" workbookViewId="0">
      <selection activeCell="A77" sqref="A77:B77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170</v>
      </c>
      <c r="B2" s="2"/>
      <c r="C2" s="2"/>
      <c r="D2" s="2"/>
    </row>
    <row r="3" spans="1:4">
      <c r="A3" s="1" t="s">
        <v>110</v>
      </c>
      <c r="B3" s="2"/>
      <c r="C3" s="2"/>
      <c r="D3" s="2"/>
    </row>
    <row r="4" spans="1:4">
      <c r="A4" s="25" t="s">
        <v>59</v>
      </c>
      <c r="B4" s="2">
        <v>1990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1698.3</v>
      </c>
      <c r="C8" s="2"/>
      <c r="D8" s="2"/>
    </row>
    <row r="9" spans="1:4">
      <c r="A9" s="25" t="s">
        <v>63</v>
      </c>
      <c r="B9" s="2">
        <v>176.4</v>
      </c>
      <c r="C9" s="2"/>
      <c r="D9" s="2"/>
    </row>
    <row r="10" spans="1:4">
      <c r="A10" s="25" t="s">
        <v>74</v>
      </c>
      <c r="B10" s="2">
        <v>445.2</v>
      </c>
      <c r="C10" s="2"/>
      <c r="D10" s="2"/>
    </row>
    <row r="11" spans="1:4" ht="36.75">
      <c r="A11" s="67" t="s">
        <v>1</v>
      </c>
      <c r="B11" s="67" t="s">
        <v>2</v>
      </c>
      <c r="C11" s="67" t="s">
        <v>3</v>
      </c>
      <c r="D11" s="6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7" t="s">
        <v>7</v>
      </c>
      <c r="C13" s="64">
        <v>0.13</v>
      </c>
      <c r="D13" s="29">
        <f>C13*11*B8</f>
        <v>2428.5690000000004</v>
      </c>
    </row>
    <row r="14" spans="1:4" ht="75.75" customHeight="1">
      <c r="A14" s="6" t="s">
        <v>90</v>
      </c>
      <c r="B14" s="67" t="s">
        <v>9</v>
      </c>
      <c r="C14" s="26">
        <v>2.79</v>
      </c>
      <c r="D14" s="29">
        <f>C14*11*B8</f>
        <v>52120.826999999997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65"/>
      <c r="C16" s="65"/>
      <c r="D16" s="65"/>
    </row>
    <row r="17" spans="1:4" ht="13.5" customHeight="1">
      <c r="A17" s="6" t="s">
        <v>12</v>
      </c>
      <c r="B17" s="67" t="s">
        <v>76</v>
      </c>
      <c r="C17" s="118">
        <v>2.16</v>
      </c>
      <c r="D17" s="125">
        <f>C17*B8*11</f>
        <v>40351.608</v>
      </c>
    </row>
    <row r="18" spans="1:4" ht="12.75" customHeight="1">
      <c r="A18" s="6" t="s">
        <v>13</v>
      </c>
      <c r="B18" s="67" t="s">
        <v>76</v>
      </c>
      <c r="C18" s="118"/>
      <c r="D18" s="126"/>
    </row>
    <row r="19" spans="1:4" ht="14.25" customHeight="1">
      <c r="A19" s="6" t="s">
        <v>14</v>
      </c>
      <c r="B19" s="67" t="s">
        <v>76</v>
      </c>
      <c r="C19" s="118"/>
      <c r="D19" s="126"/>
    </row>
    <row r="20" spans="1:4" ht="13.5" customHeight="1">
      <c r="A20" s="6" t="s">
        <v>15</v>
      </c>
      <c r="B20" s="67" t="s">
        <v>77</v>
      </c>
      <c r="C20" s="118"/>
      <c r="D20" s="126"/>
    </row>
    <row r="21" spans="1:4" ht="12.75" customHeight="1">
      <c r="A21" s="41" t="s">
        <v>94</v>
      </c>
      <c r="B21" s="67"/>
      <c r="C21" s="118"/>
      <c r="D21" s="126"/>
    </row>
    <row r="22" spans="1:4" ht="30" customHeight="1">
      <c r="A22" s="6" t="s">
        <v>16</v>
      </c>
      <c r="B22" s="67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C24*B8*11</f>
        <v>3736.26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C28*B8*11</f>
        <v>11395.592999999999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25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C35*B8*11</f>
        <v>18681.3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25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0.69</v>
      </c>
      <c r="D42" s="118">
        <f>C42*11*B8</f>
        <v>12890.097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3.77</v>
      </c>
      <c r="D46" s="117">
        <f>C46*11*B8+151.86</f>
        <v>70580.36099999999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65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25</v>
      </c>
      <c r="C53" s="117"/>
      <c r="D53" s="117"/>
    </row>
    <row r="54" spans="1:4" ht="14.25" customHeight="1">
      <c r="A54" s="9" t="s">
        <v>43</v>
      </c>
      <c r="B54" s="23" t="s">
        <v>25</v>
      </c>
      <c r="C54" s="117"/>
      <c r="D54" s="117"/>
    </row>
    <row r="55" spans="1:4" ht="13.5" customHeight="1">
      <c r="A55" s="9" t="s">
        <v>44</v>
      </c>
      <c r="B55" s="23" t="s">
        <v>25</v>
      </c>
      <c r="C55" s="117"/>
      <c r="D55" s="117"/>
    </row>
    <row r="56" spans="1:4" ht="13.5" customHeight="1">
      <c r="A56" s="9" t="s">
        <v>45</v>
      </c>
      <c r="B56" s="21" t="s">
        <v>171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1.37</v>
      </c>
      <c r="D59" s="117">
        <f>C59*B8*11</f>
        <v>25593.381000000001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25.5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C66*B8*11</f>
        <v>45021.933000000005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39999.47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66">
        <v>4.3499999999999996</v>
      </c>
      <c r="D72" s="66">
        <v>77626.48</v>
      </c>
    </row>
    <row r="73" spans="1:4">
      <c r="A73" s="65" t="s">
        <v>57</v>
      </c>
      <c r="B73" s="23"/>
      <c r="C73" s="28">
        <f>C72+C69+C66+C59+C46+C42+C35+C28+C24+C17+C14+C13</f>
        <v>21.619999999999997</v>
      </c>
      <c r="D73" s="57">
        <f>D72+D69+D66+D59+D46+D42+D35+D28+D24+D17+D14+D13</f>
        <v>400425.87900000002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A41:D41"/>
    <mergeCell ref="C42:C44"/>
    <mergeCell ref="D42:D44"/>
    <mergeCell ref="A45:D45"/>
    <mergeCell ref="C46:C57"/>
    <mergeCell ref="D46:D57"/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78"/>
  <sheetViews>
    <sheetView topLeftCell="A52" workbookViewId="0">
      <selection activeCell="A75" sqref="A75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168</v>
      </c>
      <c r="B2" s="2"/>
      <c r="C2" s="2"/>
      <c r="D2" s="2"/>
    </row>
    <row r="3" spans="1:4">
      <c r="A3" s="1" t="s">
        <v>110</v>
      </c>
      <c r="B3" s="2"/>
      <c r="C3" s="2"/>
      <c r="D3" s="2"/>
    </row>
    <row r="4" spans="1:4">
      <c r="A4" s="25" t="s">
        <v>59</v>
      </c>
      <c r="B4" s="2">
        <v>1992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1711.7</v>
      </c>
      <c r="C8" s="2"/>
      <c r="D8" s="2"/>
    </row>
    <row r="9" spans="1:4">
      <c r="A9" s="25" t="s">
        <v>63</v>
      </c>
      <c r="B9" s="2">
        <v>173.7</v>
      </c>
      <c r="C9" s="2"/>
      <c r="D9" s="2"/>
    </row>
    <row r="10" spans="1:4">
      <c r="A10" s="25" t="s">
        <v>74</v>
      </c>
      <c r="B10" s="2">
        <v>447.7</v>
      </c>
      <c r="C10" s="2"/>
      <c r="D10" s="2"/>
    </row>
    <row r="11" spans="1:4" ht="36.75">
      <c r="A11" s="67" t="s">
        <v>1</v>
      </c>
      <c r="B11" s="67" t="s">
        <v>2</v>
      </c>
      <c r="C11" s="67" t="s">
        <v>3</v>
      </c>
      <c r="D11" s="67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7" t="s">
        <v>7</v>
      </c>
      <c r="C13" s="64">
        <v>0.13</v>
      </c>
      <c r="D13" s="29">
        <f>C13*11*B8</f>
        <v>2447.7310000000002</v>
      </c>
    </row>
    <row r="14" spans="1:4" ht="75.75" customHeight="1">
      <c r="A14" s="6" t="s">
        <v>90</v>
      </c>
      <c r="B14" s="67" t="s">
        <v>9</v>
      </c>
      <c r="C14" s="26">
        <v>2.79</v>
      </c>
      <c r="D14" s="29">
        <f>C14*11*B8</f>
        <v>52532.073000000004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65"/>
      <c r="C16" s="65"/>
      <c r="D16" s="65"/>
    </row>
    <row r="17" spans="1:4" ht="13.5" customHeight="1">
      <c r="A17" s="6" t="s">
        <v>12</v>
      </c>
      <c r="B17" s="67" t="s">
        <v>76</v>
      </c>
      <c r="C17" s="118">
        <v>2.16</v>
      </c>
      <c r="D17" s="125">
        <f>C17*B8*11</f>
        <v>40669.992000000006</v>
      </c>
    </row>
    <row r="18" spans="1:4" ht="12.75" customHeight="1">
      <c r="A18" s="6" t="s">
        <v>13</v>
      </c>
      <c r="B18" s="67" t="s">
        <v>76</v>
      </c>
      <c r="C18" s="118"/>
      <c r="D18" s="126"/>
    </row>
    <row r="19" spans="1:4" ht="14.25" customHeight="1">
      <c r="A19" s="6" t="s">
        <v>14</v>
      </c>
      <c r="B19" s="67" t="s">
        <v>76</v>
      </c>
      <c r="C19" s="118"/>
      <c r="D19" s="126"/>
    </row>
    <row r="20" spans="1:4" ht="13.5" customHeight="1">
      <c r="A20" s="6" t="s">
        <v>15</v>
      </c>
      <c r="B20" s="67" t="s">
        <v>77</v>
      </c>
      <c r="C20" s="118"/>
      <c r="D20" s="126"/>
    </row>
    <row r="21" spans="1:4" ht="12.75" customHeight="1">
      <c r="A21" s="41" t="s">
        <v>94</v>
      </c>
      <c r="B21" s="67"/>
      <c r="C21" s="118"/>
      <c r="D21" s="126"/>
    </row>
    <row r="22" spans="1:4" ht="30" customHeight="1">
      <c r="A22" s="6" t="s">
        <v>16</v>
      </c>
      <c r="B22" s="67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C24*B8*11</f>
        <v>3765.7400000000002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C28*B8*11</f>
        <v>11485.507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25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C35*B8*11</f>
        <v>18828.7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25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0.69</v>
      </c>
      <c r="D42" s="118">
        <f>C42*11*B8</f>
        <v>12991.803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3.77</v>
      </c>
      <c r="D46" s="117">
        <f>C46*11*B8+9.6</f>
        <v>70993.798999999999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65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25</v>
      </c>
      <c r="C53" s="117"/>
      <c r="D53" s="117"/>
    </row>
    <row r="54" spans="1:4" ht="14.25" customHeight="1">
      <c r="A54" s="9" t="s">
        <v>43</v>
      </c>
      <c r="B54" s="23" t="s">
        <v>25</v>
      </c>
      <c r="C54" s="117"/>
      <c r="D54" s="117"/>
    </row>
    <row r="55" spans="1:4" ht="13.5" customHeight="1">
      <c r="A55" s="9" t="s">
        <v>44</v>
      </c>
      <c r="B55" s="23" t="s">
        <v>25</v>
      </c>
      <c r="C55" s="117"/>
      <c r="D55" s="117"/>
    </row>
    <row r="56" spans="1:4" ht="13.5" customHeight="1">
      <c r="A56" s="9" t="s">
        <v>45</v>
      </c>
      <c r="B56" s="21" t="s">
        <v>169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1.37</v>
      </c>
      <c r="D59" s="117">
        <f>C59*B8*11</f>
        <v>25795.319000000003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24.75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C66*B8*11</f>
        <v>45377.167000000001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40295.06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66">
        <v>4.3499999999999996</v>
      </c>
      <c r="D72" s="66">
        <v>75220.92</v>
      </c>
    </row>
    <row r="73" spans="1:4">
      <c r="A73" s="65" t="s">
        <v>57</v>
      </c>
      <c r="B73" s="23"/>
      <c r="C73" s="28">
        <f>C72+C69+C66+C59+C46+C42+C35+C28+C24+C17+C14+C13</f>
        <v>21.619999999999997</v>
      </c>
      <c r="D73" s="57">
        <f>D72+D69+D66+D59+D46+D42+D35+D28+D24+D17+D14+D13</f>
        <v>400403.8110000001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  <mergeCell ref="A41:D41"/>
    <mergeCell ref="C42:C44"/>
    <mergeCell ref="D42:D44"/>
    <mergeCell ref="A45:D45"/>
    <mergeCell ref="C46:C57"/>
    <mergeCell ref="D46:D57"/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82"/>
  <sheetViews>
    <sheetView topLeftCell="A61" workbookViewId="0">
      <selection activeCell="A88" sqref="A87:A88"/>
    </sheetView>
  </sheetViews>
  <sheetFormatPr defaultRowHeight="15"/>
  <cols>
    <col min="1" max="1" width="93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162</v>
      </c>
      <c r="B2" s="2"/>
      <c r="C2" s="2"/>
      <c r="D2" s="2"/>
    </row>
    <row r="3" spans="1:4">
      <c r="A3" s="1" t="s">
        <v>110</v>
      </c>
      <c r="B3" s="2"/>
      <c r="C3" s="2"/>
      <c r="D3" s="2"/>
    </row>
    <row r="4" spans="1:4">
      <c r="A4" s="25" t="s">
        <v>59</v>
      </c>
      <c r="B4" s="2">
        <v>1994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1704.2</v>
      </c>
      <c r="C8" s="2"/>
      <c r="D8" s="2"/>
    </row>
    <row r="9" spans="1:4">
      <c r="A9" s="25" t="s">
        <v>63</v>
      </c>
      <c r="B9" s="2">
        <v>173.7</v>
      </c>
      <c r="C9" s="2"/>
      <c r="D9" s="2"/>
    </row>
    <row r="10" spans="1:4">
      <c r="A10" s="25" t="s">
        <v>74</v>
      </c>
      <c r="B10" s="2">
        <v>442.3</v>
      </c>
      <c r="C10" s="2"/>
      <c r="D10" s="2"/>
    </row>
    <row r="11" spans="1:4" ht="36.75">
      <c r="A11" s="60" t="s">
        <v>1</v>
      </c>
      <c r="B11" s="60" t="s">
        <v>2</v>
      </c>
      <c r="C11" s="60" t="s">
        <v>3</v>
      </c>
      <c r="D11" s="60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0" t="s">
        <v>7</v>
      </c>
      <c r="C13" s="59">
        <v>0.13</v>
      </c>
      <c r="D13" s="29">
        <f>C13*11*B8</f>
        <v>2437.0060000000003</v>
      </c>
    </row>
    <row r="14" spans="1:4" ht="75.75" customHeight="1">
      <c r="A14" s="6" t="s">
        <v>90</v>
      </c>
      <c r="B14" s="60" t="s">
        <v>9</v>
      </c>
      <c r="C14" s="26">
        <v>2.79</v>
      </c>
      <c r="D14" s="29">
        <f>C14*11*B8</f>
        <v>52301.898000000001</v>
      </c>
    </row>
    <row r="15" spans="1:4">
      <c r="A15" s="6" t="s">
        <v>10</v>
      </c>
      <c r="B15" s="60"/>
      <c r="C15" s="26"/>
      <c r="D15" s="30"/>
    </row>
    <row r="16" spans="1:4">
      <c r="A16" s="6" t="s">
        <v>164</v>
      </c>
      <c r="B16" s="67" t="s">
        <v>107</v>
      </c>
      <c r="C16" s="26">
        <v>0.78</v>
      </c>
      <c r="D16" s="30">
        <f>C16*11*B8</f>
        <v>14622.036</v>
      </c>
    </row>
    <row r="17" spans="1:4">
      <c r="A17" s="6" t="s">
        <v>166</v>
      </c>
      <c r="B17" s="67" t="s">
        <v>108</v>
      </c>
      <c r="C17" s="46">
        <v>1.89</v>
      </c>
      <c r="D17" s="30">
        <f>C17*11*B8</f>
        <v>35430.317999999999</v>
      </c>
    </row>
    <row r="18" spans="1:4">
      <c r="A18" s="6" t="s">
        <v>167</v>
      </c>
      <c r="B18" s="67" t="s">
        <v>89</v>
      </c>
      <c r="C18" s="46">
        <v>0.3</v>
      </c>
      <c r="D18" s="30">
        <f>C18*11*B8</f>
        <v>5623.86</v>
      </c>
    </row>
    <row r="19" spans="1:4">
      <c r="A19" s="124" t="s">
        <v>11</v>
      </c>
      <c r="B19" s="124"/>
      <c r="C19" s="124"/>
      <c r="D19" s="124"/>
    </row>
    <row r="20" spans="1:4" ht="13.5" customHeight="1">
      <c r="A20" s="41" t="s">
        <v>98</v>
      </c>
      <c r="B20" s="61"/>
      <c r="C20" s="61"/>
      <c r="D20" s="61"/>
    </row>
    <row r="21" spans="1:4" ht="13.5" customHeight="1">
      <c r="A21" s="6" t="s">
        <v>12</v>
      </c>
      <c r="B21" s="60" t="s">
        <v>76</v>
      </c>
      <c r="C21" s="118">
        <v>2.16</v>
      </c>
      <c r="D21" s="125">
        <f>C21*B8*11</f>
        <v>40491.792000000001</v>
      </c>
    </row>
    <row r="22" spans="1:4" ht="12.75" customHeight="1">
      <c r="A22" s="6" t="s">
        <v>13</v>
      </c>
      <c r="B22" s="60" t="s">
        <v>76</v>
      </c>
      <c r="C22" s="118"/>
      <c r="D22" s="126"/>
    </row>
    <row r="23" spans="1:4" ht="14.25" customHeight="1">
      <c r="A23" s="6" t="s">
        <v>14</v>
      </c>
      <c r="B23" s="60" t="s">
        <v>76</v>
      </c>
      <c r="C23" s="118"/>
      <c r="D23" s="126"/>
    </row>
    <row r="24" spans="1:4" ht="13.5" customHeight="1">
      <c r="A24" s="6" t="s">
        <v>15</v>
      </c>
      <c r="B24" s="60" t="s">
        <v>77</v>
      </c>
      <c r="C24" s="118"/>
      <c r="D24" s="126"/>
    </row>
    <row r="25" spans="1:4" ht="12.75" customHeight="1">
      <c r="A25" s="41" t="s">
        <v>94</v>
      </c>
      <c r="B25" s="60"/>
      <c r="C25" s="118"/>
      <c r="D25" s="126"/>
    </row>
    <row r="26" spans="1:4" ht="30" customHeight="1">
      <c r="A26" s="6" t="s">
        <v>16</v>
      </c>
      <c r="B26" s="60" t="s">
        <v>95</v>
      </c>
      <c r="C26" s="118"/>
      <c r="D26" s="127"/>
    </row>
    <row r="27" spans="1:4" ht="12.75" customHeight="1">
      <c r="A27" s="121" t="s">
        <v>17</v>
      </c>
      <c r="B27" s="122"/>
      <c r="C27" s="122"/>
      <c r="D27" s="123"/>
    </row>
    <row r="28" spans="1:4" ht="12" customHeight="1">
      <c r="A28" s="7" t="s">
        <v>18</v>
      </c>
      <c r="B28" s="21" t="s">
        <v>79</v>
      </c>
      <c r="C28" s="118">
        <v>0.2</v>
      </c>
      <c r="D28" s="128">
        <f>C28*B8*11</f>
        <v>3749.2400000000002</v>
      </c>
    </row>
    <row r="29" spans="1:4" ht="12" customHeight="1">
      <c r="A29" s="7" t="s">
        <v>19</v>
      </c>
      <c r="B29" s="21" t="s">
        <v>78</v>
      </c>
      <c r="C29" s="118"/>
      <c r="D29" s="128"/>
    </row>
    <row r="30" spans="1:4" ht="13.5" customHeight="1">
      <c r="A30" s="121" t="s">
        <v>20</v>
      </c>
      <c r="B30" s="122"/>
      <c r="C30" s="122"/>
      <c r="D30" s="123"/>
    </row>
    <row r="31" spans="1:4">
      <c r="A31" s="128" t="s">
        <v>21</v>
      </c>
      <c r="B31" s="128"/>
      <c r="C31" s="128"/>
      <c r="D31" s="128"/>
    </row>
    <row r="32" spans="1:4" ht="37.5" customHeight="1">
      <c r="A32" s="8" t="s">
        <v>22</v>
      </c>
      <c r="B32" s="22" t="s">
        <v>80</v>
      </c>
      <c r="C32" s="118">
        <v>0.61</v>
      </c>
      <c r="D32" s="117">
        <f>C32*B8*11</f>
        <v>11435.181999999999</v>
      </c>
    </row>
    <row r="33" spans="1:4" ht="15" customHeight="1">
      <c r="A33" s="9" t="s">
        <v>24</v>
      </c>
      <c r="B33" s="23" t="s">
        <v>81</v>
      </c>
      <c r="C33" s="118"/>
      <c r="D33" s="126"/>
    </row>
    <row r="34" spans="1:4" ht="13.5" customHeight="1">
      <c r="A34" s="9" t="s">
        <v>26</v>
      </c>
      <c r="B34" s="23" t="s">
        <v>81</v>
      </c>
      <c r="C34" s="118"/>
      <c r="D34" s="126"/>
    </row>
    <row r="35" spans="1:4" ht="36" customHeight="1">
      <c r="A35" s="9" t="s">
        <v>27</v>
      </c>
      <c r="B35" s="22" t="s">
        <v>23</v>
      </c>
      <c r="C35" s="118"/>
      <c r="D35" s="126"/>
    </row>
    <row r="36" spans="1:4" ht="14.25" customHeight="1">
      <c r="A36" s="9" t="s">
        <v>28</v>
      </c>
      <c r="B36" s="22" t="s">
        <v>25</v>
      </c>
      <c r="C36" s="118"/>
      <c r="D36" s="126"/>
    </row>
    <row r="37" spans="1:4" ht="33.75" customHeight="1">
      <c r="A37" s="24" t="s">
        <v>29</v>
      </c>
      <c r="B37" s="22" t="s">
        <v>23</v>
      </c>
      <c r="C37" s="129"/>
      <c r="D37" s="127"/>
    </row>
    <row r="38" spans="1:4" ht="15.75" customHeight="1">
      <c r="A38" s="128" t="s">
        <v>66</v>
      </c>
      <c r="B38" s="128"/>
      <c r="C38" s="128"/>
      <c r="D38" s="128"/>
    </row>
    <row r="39" spans="1:4" ht="36.75" customHeight="1">
      <c r="A39" s="9" t="s">
        <v>67</v>
      </c>
      <c r="B39" s="22" t="s">
        <v>80</v>
      </c>
      <c r="C39" s="117">
        <v>1</v>
      </c>
      <c r="D39" s="118">
        <f>C39*B8*11</f>
        <v>18746.2</v>
      </c>
    </row>
    <row r="40" spans="1:4" ht="14.25" customHeight="1">
      <c r="A40" s="9" t="s">
        <v>68</v>
      </c>
      <c r="B40" s="22" t="s">
        <v>81</v>
      </c>
      <c r="C40" s="117"/>
      <c r="D40" s="119"/>
    </row>
    <row r="41" spans="1:4" ht="14.25" customHeight="1">
      <c r="A41" s="9" t="s">
        <v>69</v>
      </c>
      <c r="B41" s="22" t="s">
        <v>81</v>
      </c>
      <c r="C41" s="117"/>
      <c r="D41" s="119"/>
    </row>
    <row r="42" spans="1:4" ht="24" customHeight="1">
      <c r="A42" s="9" t="s">
        <v>70</v>
      </c>
      <c r="B42" s="22" t="s">
        <v>80</v>
      </c>
      <c r="C42" s="117"/>
      <c r="D42" s="119"/>
    </row>
    <row r="43" spans="1:4" ht="25.5" customHeight="1">
      <c r="A43" s="10" t="s">
        <v>71</v>
      </c>
      <c r="B43" s="22" t="s">
        <v>80</v>
      </c>
      <c r="C43" s="117"/>
      <c r="D43" s="119"/>
    </row>
    <row r="44" spans="1:4" ht="14.25" customHeight="1">
      <c r="A44" s="9" t="s">
        <v>72</v>
      </c>
      <c r="B44" s="22" t="s">
        <v>25</v>
      </c>
      <c r="C44" s="117"/>
      <c r="D44" s="120"/>
    </row>
    <row r="45" spans="1:4" ht="11.25" customHeight="1">
      <c r="A45" s="130" t="s">
        <v>30</v>
      </c>
      <c r="B45" s="130"/>
      <c r="C45" s="130"/>
      <c r="D45" s="130"/>
    </row>
    <row r="46" spans="1:4" ht="35.25" customHeight="1">
      <c r="A46" s="9" t="s">
        <v>31</v>
      </c>
      <c r="B46" s="22" t="s">
        <v>23</v>
      </c>
      <c r="C46" s="117">
        <v>0.69</v>
      </c>
      <c r="D46" s="118">
        <f>C46*11*B8</f>
        <v>12934.878000000001</v>
      </c>
    </row>
    <row r="47" spans="1:4" ht="38.25" customHeight="1">
      <c r="A47" s="9" t="s">
        <v>32</v>
      </c>
      <c r="B47" s="22" t="s">
        <v>23</v>
      </c>
      <c r="C47" s="117"/>
      <c r="D47" s="118"/>
    </row>
    <row r="48" spans="1:4" ht="15" customHeight="1">
      <c r="A48" s="10" t="s">
        <v>33</v>
      </c>
      <c r="B48" s="22" t="s">
        <v>23</v>
      </c>
      <c r="C48" s="117"/>
      <c r="D48" s="118"/>
    </row>
    <row r="49" spans="1:4" ht="12.75" customHeight="1">
      <c r="A49" s="128" t="s">
        <v>34</v>
      </c>
      <c r="B49" s="128"/>
      <c r="C49" s="128"/>
      <c r="D49" s="128"/>
    </row>
    <row r="50" spans="1:4" ht="29.25" customHeight="1">
      <c r="A50" s="9" t="s">
        <v>35</v>
      </c>
      <c r="B50" s="22" t="s">
        <v>78</v>
      </c>
      <c r="C50" s="117">
        <v>1.77</v>
      </c>
      <c r="D50" s="117">
        <f>C50*11*B8-113.53</f>
        <v>33067.243999999999</v>
      </c>
    </row>
    <row r="51" spans="1:4" ht="14.25" customHeight="1">
      <c r="A51" s="9" t="s">
        <v>36</v>
      </c>
      <c r="B51" s="22" t="s">
        <v>82</v>
      </c>
      <c r="C51" s="117"/>
      <c r="D51" s="117"/>
    </row>
    <row r="52" spans="1:4" ht="17.25" customHeight="1">
      <c r="A52" s="9" t="s">
        <v>37</v>
      </c>
      <c r="B52" s="22" t="s">
        <v>82</v>
      </c>
      <c r="C52" s="117"/>
      <c r="D52" s="117"/>
    </row>
    <row r="53" spans="1:4" ht="24.75" customHeight="1">
      <c r="A53" s="9" t="s">
        <v>38</v>
      </c>
      <c r="B53" s="22" t="s">
        <v>83</v>
      </c>
      <c r="C53" s="117"/>
      <c r="D53" s="117"/>
    </row>
    <row r="54" spans="1:4" ht="30" customHeight="1">
      <c r="A54" s="9" t="s">
        <v>39</v>
      </c>
      <c r="B54" s="22" t="s">
        <v>83</v>
      </c>
      <c r="C54" s="117"/>
      <c r="D54" s="117"/>
    </row>
    <row r="55" spans="1:4" ht="12.75" customHeight="1">
      <c r="A55" s="61" t="s">
        <v>96</v>
      </c>
      <c r="B55" s="6"/>
      <c r="C55" s="117"/>
      <c r="D55" s="117"/>
    </row>
    <row r="56" spans="1:4" ht="35.25" customHeight="1">
      <c r="A56" s="9" t="s">
        <v>41</v>
      </c>
      <c r="B56" s="22" t="s">
        <v>80</v>
      </c>
      <c r="C56" s="117"/>
      <c r="D56" s="117"/>
    </row>
    <row r="57" spans="1:4" ht="14.25" customHeight="1">
      <c r="A57" s="9" t="s">
        <v>42</v>
      </c>
      <c r="B57" s="22" t="s">
        <v>25</v>
      </c>
      <c r="C57" s="117"/>
      <c r="D57" s="117"/>
    </row>
    <row r="58" spans="1:4" ht="14.25" customHeight="1">
      <c r="A58" s="9" t="s">
        <v>43</v>
      </c>
      <c r="B58" s="23" t="s">
        <v>25</v>
      </c>
      <c r="C58" s="117"/>
      <c r="D58" s="117"/>
    </row>
    <row r="59" spans="1:4" ht="13.5" customHeight="1">
      <c r="A59" s="9" t="s">
        <v>44</v>
      </c>
      <c r="B59" s="23" t="s">
        <v>25</v>
      </c>
      <c r="C59" s="117"/>
      <c r="D59" s="117"/>
    </row>
    <row r="60" spans="1:4" ht="13.5" customHeight="1">
      <c r="A60" s="9" t="s">
        <v>45</v>
      </c>
      <c r="B60" s="21" t="s">
        <v>163</v>
      </c>
      <c r="C60" s="117"/>
      <c r="D60" s="117"/>
    </row>
    <row r="61" spans="1:4" ht="36.75" customHeight="1">
      <c r="A61" s="10" t="s">
        <v>46</v>
      </c>
      <c r="B61" s="22" t="s">
        <v>23</v>
      </c>
      <c r="C61" s="117"/>
      <c r="D61" s="117"/>
    </row>
    <row r="62" spans="1:4">
      <c r="A62" s="128" t="s">
        <v>47</v>
      </c>
      <c r="B62" s="128"/>
      <c r="C62" s="128"/>
      <c r="D62" s="128"/>
    </row>
    <row r="63" spans="1:4" ht="15.75" customHeight="1">
      <c r="A63" s="9" t="s">
        <v>48</v>
      </c>
      <c r="B63" s="22" t="s">
        <v>84</v>
      </c>
      <c r="C63" s="118">
        <v>0.4</v>
      </c>
      <c r="D63" s="117">
        <f>C63*B8*11</f>
        <v>7498.4800000000005</v>
      </c>
    </row>
    <row r="64" spans="1:4" ht="17.25" customHeight="1">
      <c r="A64" s="9" t="s">
        <v>49</v>
      </c>
      <c r="B64" s="22" t="s">
        <v>84</v>
      </c>
      <c r="C64" s="118"/>
      <c r="D64" s="117"/>
    </row>
    <row r="65" spans="1:4" ht="29.25" customHeight="1">
      <c r="A65" s="9" t="s">
        <v>50</v>
      </c>
      <c r="B65" s="22" t="s">
        <v>84</v>
      </c>
      <c r="C65" s="118"/>
      <c r="D65" s="117"/>
    </row>
    <row r="66" spans="1:4" ht="16.5" customHeight="1">
      <c r="A66" s="9" t="s">
        <v>51</v>
      </c>
      <c r="B66" s="22" t="s">
        <v>84</v>
      </c>
      <c r="C66" s="118"/>
      <c r="D66" s="117"/>
    </row>
    <row r="67" spans="1:4" ht="39.75" customHeight="1">
      <c r="A67" s="10" t="s">
        <v>52</v>
      </c>
      <c r="B67" s="22" t="s">
        <v>23</v>
      </c>
      <c r="C67" s="118"/>
      <c r="D67" s="117"/>
    </row>
    <row r="68" spans="1:4" ht="16.5" customHeight="1">
      <c r="A68" s="10" t="s">
        <v>53</v>
      </c>
      <c r="B68" s="23" t="s">
        <v>85</v>
      </c>
      <c r="C68" s="118"/>
      <c r="D68" s="117"/>
    </row>
    <row r="69" spans="1:4">
      <c r="A69" s="121" t="s">
        <v>86</v>
      </c>
      <c r="B69" s="122"/>
      <c r="C69" s="122"/>
      <c r="D69" s="123"/>
    </row>
    <row r="70" spans="1:4" ht="26.25" customHeight="1">
      <c r="A70" s="139" t="s">
        <v>97</v>
      </c>
      <c r="B70" s="141" t="s">
        <v>87</v>
      </c>
      <c r="C70" s="118">
        <v>2.41</v>
      </c>
      <c r="D70" s="117">
        <f>C70*B8*11</f>
        <v>45178.342000000004</v>
      </c>
    </row>
    <row r="71" spans="1:4" ht="13.5" customHeight="1">
      <c r="A71" s="140"/>
      <c r="B71" s="141"/>
      <c r="C71" s="118"/>
      <c r="D71" s="117"/>
    </row>
    <row r="72" spans="1:4" ht="15" customHeight="1">
      <c r="A72" s="121" t="s">
        <v>56</v>
      </c>
      <c r="B72" s="122"/>
      <c r="C72" s="122"/>
      <c r="D72" s="123"/>
    </row>
    <row r="73" spans="1:4" ht="16.5" customHeight="1">
      <c r="A73" s="6" t="s">
        <v>91</v>
      </c>
      <c r="B73" s="21" t="s">
        <v>88</v>
      </c>
      <c r="C73" s="131">
        <v>2.14</v>
      </c>
      <c r="D73" s="133">
        <v>40100.51</v>
      </c>
    </row>
    <row r="74" spans="1:4">
      <c r="A74" s="6" t="s">
        <v>92</v>
      </c>
      <c r="B74" s="21" t="s">
        <v>88</v>
      </c>
      <c r="C74" s="132"/>
      <c r="D74" s="134"/>
    </row>
    <row r="75" spans="1:4" ht="15" customHeight="1">
      <c r="A75" s="6" t="s">
        <v>93</v>
      </c>
      <c r="B75" s="21" t="s">
        <v>88</v>
      </c>
      <c r="C75" s="130"/>
      <c r="D75" s="135"/>
    </row>
    <row r="76" spans="1:4" ht="38.25" customHeight="1">
      <c r="A76" s="6" t="s">
        <v>165</v>
      </c>
      <c r="B76" s="22" t="s">
        <v>23</v>
      </c>
      <c r="C76" s="58">
        <v>4.3499999999999996</v>
      </c>
      <c r="D76" s="58">
        <v>81624.479999999996</v>
      </c>
    </row>
    <row r="77" spans="1:4">
      <c r="A77" s="61" t="s">
        <v>57</v>
      </c>
      <c r="B77" s="23"/>
      <c r="C77" s="28">
        <f>C76+C73+C70+C63+C50+C46+C39+C32+C28+C21+C18+C17+C16+C14+C13</f>
        <v>21.619999999999997</v>
      </c>
      <c r="D77" s="57">
        <f>D76+D73+D70+D63+D50+D46+D39+D32+D28+D21+D18+D17+D16+D14+D13</f>
        <v>405241.46599999996</v>
      </c>
    </row>
    <row r="79" spans="1:4">
      <c r="D79" s="42"/>
    </row>
    <row r="80" spans="1:4">
      <c r="D80" s="42"/>
    </row>
    <row r="81" spans="4:4">
      <c r="D81" s="42"/>
    </row>
    <row r="82" spans="4:4">
      <c r="D82" s="42"/>
    </row>
  </sheetData>
  <mergeCells count="31">
    <mergeCell ref="C39:C44"/>
    <mergeCell ref="D39:D44"/>
    <mergeCell ref="A12:D12"/>
    <mergeCell ref="A19:D19"/>
    <mergeCell ref="C21:C26"/>
    <mergeCell ref="D21:D26"/>
    <mergeCell ref="A27:D27"/>
    <mergeCell ref="C28:C29"/>
    <mergeCell ref="D28:D29"/>
    <mergeCell ref="A30:D30"/>
    <mergeCell ref="A31:D31"/>
    <mergeCell ref="C32:C37"/>
    <mergeCell ref="D32:D37"/>
    <mergeCell ref="A38:D38"/>
    <mergeCell ref="A45:D45"/>
    <mergeCell ref="C46:C48"/>
    <mergeCell ref="D46:D48"/>
    <mergeCell ref="A49:D49"/>
    <mergeCell ref="C50:C61"/>
    <mergeCell ref="D50:D61"/>
    <mergeCell ref="A72:D72"/>
    <mergeCell ref="C73:C75"/>
    <mergeCell ref="D73:D75"/>
    <mergeCell ref="A62:D62"/>
    <mergeCell ref="C63:C68"/>
    <mergeCell ref="D63:D68"/>
    <mergeCell ref="A69:D69"/>
    <mergeCell ref="A70:A71"/>
    <mergeCell ref="B70:B71"/>
    <mergeCell ref="C70:C71"/>
    <mergeCell ref="D70:D7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81"/>
  <sheetViews>
    <sheetView topLeftCell="A55" workbookViewId="0">
      <selection activeCell="A75" sqref="A75"/>
    </sheetView>
  </sheetViews>
  <sheetFormatPr defaultRowHeight="15"/>
  <cols>
    <col min="1" max="1" width="87.710937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161</v>
      </c>
      <c r="B2" s="2"/>
      <c r="C2" s="2"/>
      <c r="D2" s="2"/>
    </row>
    <row r="3" spans="1:4">
      <c r="A3" s="1" t="s">
        <v>110</v>
      </c>
      <c r="B3" s="2"/>
      <c r="C3" s="2"/>
      <c r="D3" s="2"/>
    </row>
    <row r="4" spans="1:4">
      <c r="A4" s="25" t="s">
        <v>59</v>
      </c>
      <c r="B4" s="2">
        <v>1993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1715.6</v>
      </c>
      <c r="C8" s="2"/>
      <c r="D8" s="2"/>
    </row>
    <row r="9" spans="1:4">
      <c r="A9" s="25" t="s">
        <v>63</v>
      </c>
      <c r="B9" s="2">
        <v>173.7</v>
      </c>
      <c r="C9" s="2"/>
      <c r="D9" s="2"/>
    </row>
    <row r="10" spans="1:4">
      <c r="A10" s="25" t="s">
        <v>74</v>
      </c>
      <c r="B10" s="2">
        <v>446.7</v>
      </c>
      <c r="C10" s="2"/>
      <c r="D10" s="2"/>
    </row>
    <row r="11" spans="1:4" ht="36.75">
      <c r="A11" s="60" t="s">
        <v>1</v>
      </c>
      <c r="B11" s="60" t="s">
        <v>2</v>
      </c>
      <c r="C11" s="60" t="s">
        <v>3</v>
      </c>
      <c r="D11" s="60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0" t="s">
        <v>7</v>
      </c>
      <c r="C13" s="59">
        <v>0.13</v>
      </c>
      <c r="D13" s="29">
        <f>C13*11*B8</f>
        <v>2453.308</v>
      </c>
    </row>
    <row r="14" spans="1:4" ht="75.75" customHeight="1">
      <c r="A14" s="6" t="s">
        <v>90</v>
      </c>
      <c r="B14" s="60" t="s">
        <v>9</v>
      </c>
      <c r="C14" s="26">
        <v>2.79</v>
      </c>
      <c r="D14" s="29">
        <f>C14*11*B8</f>
        <v>52651.764000000003</v>
      </c>
    </row>
    <row r="15" spans="1:4">
      <c r="A15" s="6" t="s">
        <v>10</v>
      </c>
      <c r="B15" s="60"/>
      <c r="C15" s="26"/>
      <c r="D15" s="30"/>
    </row>
    <row r="16" spans="1:4">
      <c r="A16" s="6" t="s">
        <v>159</v>
      </c>
      <c r="B16" s="63" t="s">
        <v>108</v>
      </c>
      <c r="C16" s="26">
        <v>0.05</v>
      </c>
      <c r="D16" s="30">
        <f>C16*11*B9</f>
        <v>95.534999999999997</v>
      </c>
    </row>
    <row r="17" spans="1:4">
      <c r="A17" s="6" t="s">
        <v>160</v>
      </c>
      <c r="B17" s="63" t="s">
        <v>108</v>
      </c>
      <c r="C17" s="46">
        <v>0.05</v>
      </c>
      <c r="D17" s="30">
        <f>C17*11*B9</f>
        <v>95.534999999999997</v>
      </c>
    </row>
    <row r="18" spans="1:4">
      <c r="A18" s="124" t="s">
        <v>11</v>
      </c>
      <c r="B18" s="124"/>
      <c r="C18" s="124"/>
      <c r="D18" s="124"/>
    </row>
    <row r="19" spans="1:4" ht="13.5" customHeight="1">
      <c r="A19" s="41" t="s">
        <v>98</v>
      </c>
      <c r="B19" s="61"/>
      <c r="C19" s="61"/>
      <c r="D19" s="61"/>
    </row>
    <row r="20" spans="1:4" ht="13.5" customHeight="1">
      <c r="A20" s="6" t="s">
        <v>12</v>
      </c>
      <c r="B20" s="60" t="s">
        <v>76</v>
      </c>
      <c r="C20" s="118">
        <v>2.16</v>
      </c>
      <c r="D20" s="125">
        <f>C20*B8*11</f>
        <v>40762.656000000003</v>
      </c>
    </row>
    <row r="21" spans="1:4" ht="12.75" customHeight="1">
      <c r="A21" s="6" t="s">
        <v>13</v>
      </c>
      <c r="B21" s="60" t="s">
        <v>76</v>
      </c>
      <c r="C21" s="118"/>
      <c r="D21" s="126"/>
    </row>
    <row r="22" spans="1:4" ht="14.25" customHeight="1">
      <c r="A22" s="6" t="s">
        <v>14</v>
      </c>
      <c r="B22" s="60" t="s">
        <v>76</v>
      </c>
      <c r="C22" s="118"/>
      <c r="D22" s="126"/>
    </row>
    <row r="23" spans="1:4" ht="13.5" customHeight="1">
      <c r="A23" s="6" t="s">
        <v>15</v>
      </c>
      <c r="B23" s="60" t="s">
        <v>77</v>
      </c>
      <c r="C23" s="118"/>
      <c r="D23" s="126"/>
    </row>
    <row r="24" spans="1:4" ht="12.75" customHeight="1">
      <c r="A24" s="41" t="s">
        <v>94</v>
      </c>
      <c r="B24" s="60"/>
      <c r="C24" s="118"/>
      <c r="D24" s="126"/>
    </row>
    <row r="25" spans="1:4" ht="30" customHeight="1">
      <c r="A25" s="6" t="s">
        <v>16</v>
      </c>
      <c r="B25" s="60" t="s">
        <v>95</v>
      </c>
      <c r="C25" s="118"/>
      <c r="D25" s="127"/>
    </row>
    <row r="26" spans="1:4" ht="12.75" customHeight="1">
      <c r="A26" s="121" t="s">
        <v>17</v>
      </c>
      <c r="B26" s="122"/>
      <c r="C26" s="122"/>
      <c r="D26" s="123"/>
    </row>
    <row r="27" spans="1:4" ht="12" customHeight="1">
      <c r="A27" s="7" t="s">
        <v>18</v>
      </c>
      <c r="B27" s="21" t="s">
        <v>79</v>
      </c>
      <c r="C27" s="118">
        <v>0.2</v>
      </c>
      <c r="D27" s="128">
        <f>C27*B8*11</f>
        <v>3774.32</v>
      </c>
    </row>
    <row r="28" spans="1:4" ht="12" customHeight="1">
      <c r="A28" s="7" t="s">
        <v>19</v>
      </c>
      <c r="B28" s="21" t="s">
        <v>78</v>
      </c>
      <c r="C28" s="118"/>
      <c r="D28" s="128"/>
    </row>
    <row r="29" spans="1:4" ht="13.5" customHeight="1">
      <c r="A29" s="121" t="s">
        <v>20</v>
      </c>
      <c r="B29" s="122"/>
      <c r="C29" s="122"/>
      <c r="D29" s="123"/>
    </row>
    <row r="30" spans="1:4">
      <c r="A30" s="128" t="s">
        <v>21</v>
      </c>
      <c r="B30" s="128"/>
      <c r="C30" s="128"/>
      <c r="D30" s="128"/>
    </row>
    <row r="31" spans="1:4" ht="37.5" customHeight="1">
      <c r="A31" s="8" t="s">
        <v>22</v>
      </c>
      <c r="B31" s="22" t="s">
        <v>80</v>
      </c>
      <c r="C31" s="118">
        <v>0.61</v>
      </c>
      <c r="D31" s="117">
        <f>C31*B8*11</f>
        <v>11511.675999999998</v>
      </c>
    </row>
    <row r="32" spans="1:4" ht="15" customHeight="1">
      <c r="A32" s="9" t="s">
        <v>24</v>
      </c>
      <c r="B32" s="23" t="s">
        <v>81</v>
      </c>
      <c r="C32" s="118"/>
      <c r="D32" s="126"/>
    </row>
    <row r="33" spans="1:4" ht="13.5" customHeight="1">
      <c r="A33" s="9" t="s">
        <v>26</v>
      </c>
      <c r="B33" s="23" t="s">
        <v>81</v>
      </c>
      <c r="C33" s="118"/>
      <c r="D33" s="126"/>
    </row>
    <row r="34" spans="1:4" ht="36" customHeight="1">
      <c r="A34" s="9" t="s">
        <v>27</v>
      </c>
      <c r="B34" s="22" t="s">
        <v>23</v>
      </c>
      <c r="C34" s="118"/>
      <c r="D34" s="126"/>
    </row>
    <row r="35" spans="1:4" ht="14.25" customHeight="1">
      <c r="A35" s="9" t="s">
        <v>28</v>
      </c>
      <c r="B35" s="22" t="s">
        <v>25</v>
      </c>
      <c r="C35" s="118"/>
      <c r="D35" s="126"/>
    </row>
    <row r="36" spans="1:4" ht="33.75" customHeight="1">
      <c r="A36" s="24" t="s">
        <v>29</v>
      </c>
      <c r="B36" s="22" t="s">
        <v>23</v>
      </c>
      <c r="C36" s="129"/>
      <c r="D36" s="127"/>
    </row>
    <row r="37" spans="1:4" ht="15.75" customHeight="1">
      <c r="A37" s="128" t="s">
        <v>66</v>
      </c>
      <c r="B37" s="128"/>
      <c r="C37" s="128"/>
      <c r="D37" s="128"/>
    </row>
    <row r="38" spans="1:4" ht="36.75" customHeight="1">
      <c r="A38" s="9" t="s">
        <v>67</v>
      </c>
      <c r="B38" s="22" t="s">
        <v>80</v>
      </c>
      <c r="C38" s="117">
        <v>1</v>
      </c>
      <c r="D38" s="118">
        <f>C38*B8*11</f>
        <v>18871.599999999999</v>
      </c>
    </row>
    <row r="39" spans="1:4" ht="14.25" customHeight="1">
      <c r="A39" s="9" t="s">
        <v>68</v>
      </c>
      <c r="B39" s="22" t="s">
        <v>81</v>
      </c>
      <c r="C39" s="117"/>
      <c r="D39" s="119"/>
    </row>
    <row r="40" spans="1:4" ht="14.25" customHeight="1">
      <c r="A40" s="9" t="s">
        <v>69</v>
      </c>
      <c r="B40" s="22" t="s">
        <v>81</v>
      </c>
      <c r="C40" s="117"/>
      <c r="D40" s="119"/>
    </row>
    <row r="41" spans="1:4" ht="24" customHeight="1">
      <c r="A41" s="9" t="s">
        <v>70</v>
      </c>
      <c r="B41" s="22" t="s">
        <v>80</v>
      </c>
      <c r="C41" s="117"/>
      <c r="D41" s="119"/>
    </row>
    <row r="42" spans="1:4" ht="25.5" customHeight="1">
      <c r="A42" s="10" t="s">
        <v>71</v>
      </c>
      <c r="B42" s="22" t="s">
        <v>80</v>
      </c>
      <c r="C42" s="117"/>
      <c r="D42" s="119"/>
    </row>
    <row r="43" spans="1:4" ht="14.25" customHeight="1">
      <c r="A43" s="9" t="s">
        <v>72</v>
      </c>
      <c r="B43" s="22" t="s">
        <v>25</v>
      </c>
      <c r="C43" s="117"/>
      <c r="D43" s="120"/>
    </row>
    <row r="44" spans="1:4" ht="11.25" customHeight="1">
      <c r="A44" s="130" t="s">
        <v>30</v>
      </c>
      <c r="B44" s="130"/>
      <c r="C44" s="130"/>
      <c r="D44" s="130"/>
    </row>
    <row r="45" spans="1:4" ht="35.25" customHeight="1">
      <c r="A45" s="9" t="s">
        <v>31</v>
      </c>
      <c r="B45" s="22" t="s">
        <v>23</v>
      </c>
      <c r="C45" s="117">
        <v>0.69</v>
      </c>
      <c r="D45" s="118">
        <f>C45*11*B8</f>
        <v>13021.403999999999</v>
      </c>
    </row>
    <row r="46" spans="1:4" ht="38.25" customHeight="1">
      <c r="A46" s="9" t="s">
        <v>32</v>
      </c>
      <c r="B46" s="22" t="s">
        <v>23</v>
      </c>
      <c r="C46" s="117"/>
      <c r="D46" s="118"/>
    </row>
    <row r="47" spans="1:4" ht="15" customHeight="1">
      <c r="A47" s="10" t="s">
        <v>33</v>
      </c>
      <c r="B47" s="22" t="s">
        <v>23</v>
      </c>
      <c r="C47" s="117"/>
      <c r="D47" s="118"/>
    </row>
    <row r="48" spans="1:4" ht="12.75" customHeight="1">
      <c r="A48" s="128" t="s">
        <v>34</v>
      </c>
      <c r="B48" s="128"/>
      <c r="C48" s="128"/>
      <c r="D48" s="128"/>
    </row>
    <row r="49" spans="1:4" ht="29.25" customHeight="1">
      <c r="A49" s="9" t="s">
        <v>35</v>
      </c>
      <c r="B49" s="22" t="s">
        <v>78</v>
      </c>
      <c r="C49" s="117">
        <v>3.67</v>
      </c>
      <c r="D49" s="117">
        <f>C49*11*B8+1791.43</f>
        <v>71050.20199999999</v>
      </c>
    </row>
    <row r="50" spans="1:4" ht="14.25" customHeight="1">
      <c r="A50" s="9" t="s">
        <v>36</v>
      </c>
      <c r="B50" s="22" t="s">
        <v>82</v>
      </c>
      <c r="C50" s="117"/>
      <c r="D50" s="117"/>
    </row>
    <row r="51" spans="1:4" ht="17.25" customHeight="1">
      <c r="A51" s="9" t="s">
        <v>37</v>
      </c>
      <c r="B51" s="22" t="s">
        <v>82</v>
      </c>
      <c r="C51" s="117"/>
      <c r="D51" s="117"/>
    </row>
    <row r="52" spans="1:4" ht="24.75" customHeight="1">
      <c r="A52" s="9" t="s">
        <v>38</v>
      </c>
      <c r="B52" s="22" t="s">
        <v>83</v>
      </c>
      <c r="C52" s="117"/>
      <c r="D52" s="117"/>
    </row>
    <row r="53" spans="1:4" ht="30" customHeight="1">
      <c r="A53" s="9" t="s">
        <v>39</v>
      </c>
      <c r="B53" s="22" t="s">
        <v>83</v>
      </c>
      <c r="C53" s="117"/>
      <c r="D53" s="117"/>
    </row>
    <row r="54" spans="1:4" ht="12.75" customHeight="1">
      <c r="A54" s="61" t="s">
        <v>96</v>
      </c>
      <c r="B54" s="6"/>
      <c r="C54" s="117"/>
      <c r="D54" s="117"/>
    </row>
    <row r="55" spans="1:4" ht="35.25" customHeight="1">
      <c r="A55" s="9" t="s">
        <v>41</v>
      </c>
      <c r="B55" s="22" t="s">
        <v>80</v>
      </c>
      <c r="C55" s="117"/>
      <c r="D55" s="117"/>
    </row>
    <row r="56" spans="1:4" ht="14.25" customHeight="1">
      <c r="A56" s="9" t="s">
        <v>42</v>
      </c>
      <c r="B56" s="22" t="s">
        <v>25</v>
      </c>
      <c r="C56" s="117"/>
      <c r="D56" s="117"/>
    </row>
    <row r="57" spans="1:4" ht="14.25" customHeight="1">
      <c r="A57" s="9" t="s">
        <v>43</v>
      </c>
      <c r="B57" s="23" t="s">
        <v>25</v>
      </c>
      <c r="C57" s="117"/>
      <c r="D57" s="117"/>
    </row>
    <row r="58" spans="1:4" ht="13.5" customHeight="1">
      <c r="A58" s="9" t="s">
        <v>44</v>
      </c>
      <c r="B58" s="23" t="s">
        <v>25</v>
      </c>
      <c r="C58" s="117"/>
      <c r="D58" s="117"/>
    </row>
    <row r="59" spans="1:4" ht="13.5" customHeight="1">
      <c r="A59" s="9" t="s">
        <v>45</v>
      </c>
      <c r="B59" s="21" t="s">
        <v>145</v>
      </c>
      <c r="C59" s="117"/>
      <c r="D59" s="117"/>
    </row>
    <row r="60" spans="1:4" ht="36.75" customHeight="1">
      <c r="A60" s="10" t="s">
        <v>46</v>
      </c>
      <c r="B60" s="22" t="s">
        <v>23</v>
      </c>
      <c r="C60" s="117"/>
      <c r="D60" s="117"/>
    </row>
    <row r="61" spans="1:4">
      <c r="A61" s="128" t="s">
        <v>47</v>
      </c>
      <c r="B61" s="128"/>
      <c r="C61" s="128"/>
      <c r="D61" s="128"/>
    </row>
    <row r="62" spans="1:4" ht="15.75" customHeight="1">
      <c r="A62" s="9" t="s">
        <v>48</v>
      </c>
      <c r="B62" s="22" t="s">
        <v>84</v>
      </c>
      <c r="C62" s="118">
        <v>1.37</v>
      </c>
      <c r="D62" s="117">
        <f>C62*B8*11</f>
        <v>25854.091999999997</v>
      </c>
    </row>
    <row r="63" spans="1:4" ht="12.75" customHeight="1">
      <c r="A63" s="9" t="s">
        <v>49</v>
      </c>
      <c r="B63" s="22" t="s">
        <v>84</v>
      </c>
      <c r="C63" s="118"/>
      <c r="D63" s="117"/>
    </row>
    <row r="64" spans="1:4" ht="27" customHeight="1">
      <c r="A64" s="9" t="s">
        <v>50</v>
      </c>
      <c r="B64" s="22" t="s">
        <v>84</v>
      </c>
      <c r="C64" s="118"/>
      <c r="D64" s="117"/>
    </row>
    <row r="65" spans="1:4" ht="16.5" customHeight="1">
      <c r="A65" s="9" t="s">
        <v>51</v>
      </c>
      <c r="B65" s="22" t="s">
        <v>84</v>
      </c>
      <c r="C65" s="118"/>
      <c r="D65" s="117"/>
    </row>
    <row r="66" spans="1:4" ht="39.75" customHeight="1">
      <c r="A66" s="10" t="s">
        <v>52</v>
      </c>
      <c r="B66" s="22" t="s">
        <v>23</v>
      </c>
      <c r="C66" s="118"/>
      <c r="D66" s="117"/>
    </row>
    <row r="67" spans="1:4" ht="16.5" customHeight="1">
      <c r="A67" s="10" t="s">
        <v>53</v>
      </c>
      <c r="B67" s="23" t="s">
        <v>85</v>
      </c>
      <c r="C67" s="118"/>
      <c r="D67" s="117"/>
    </row>
    <row r="68" spans="1:4">
      <c r="A68" s="121" t="s">
        <v>86</v>
      </c>
      <c r="B68" s="122"/>
      <c r="C68" s="122"/>
      <c r="D68" s="123"/>
    </row>
    <row r="69" spans="1:4" ht="26.25" customHeight="1">
      <c r="A69" s="139" t="s">
        <v>97</v>
      </c>
      <c r="B69" s="141" t="s">
        <v>87</v>
      </c>
      <c r="C69" s="118">
        <v>2.41</v>
      </c>
      <c r="D69" s="117">
        <f>C69*B8*11</f>
        <v>45480.556000000004</v>
      </c>
    </row>
    <row r="70" spans="1:4" ht="13.5" customHeight="1">
      <c r="A70" s="140"/>
      <c r="B70" s="141"/>
      <c r="C70" s="118"/>
      <c r="D70" s="117"/>
    </row>
    <row r="71" spans="1:4" ht="15" customHeight="1">
      <c r="A71" s="121" t="s">
        <v>56</v>
      </c>
      <c r="B71" s="122"/>
      <c r="C71" s="122"/>
      <c r="D71" s="123"/>
    </row>
    <row r="72" spans="1:4" ht="16.5" customHeight="1">
      <c r="A72" s="6" t="s">
        <v>91</v>
      </c>
      <c r="B72" s="21" t="s">
        <v>88</v>
      </c>
      <c r="C72" s="131">
        <v>2.14</v>
      </c>
      <c r="D72" s="133">
        <v>40384.959999999999</v>
      </c>
    </row>
    <row r="73" spans="1:4">
      <c r="A73" s="6" t="s">
        <v>92</v>
      </c>
      <c r="B73" s="21" t="s">
        <v>88</v>
      </c>
      <c r="C73" s="132"/>
      <c r="D73" s="134"/>
    </row>
    <row r="74" spans="1:4" ht="15" customHeight="1">
      <c r="A74" s="6" t="s">
        <v>93</v>
      </c>
      <c r="B74" s="21" t="s">
        <v>88</v>
      </c>
      <c r="C74" s="130"/>
      <c r="D74" s="135"/>
    </row>
    <row r="75" spans="1:4" ht="38.25" customHeight="1">
      <c r="A75" s="6" t="s">
        <v>165</v>
      </c>
      <c r="B75" s="22" t="s">
        <v>23</v>
      </c>
      <c r="C75" s="58">
        <v>4.3499999999999996</v>
      </c>
      <c r="D75" s="58">
        <v>78668.039999999994</v>
      </c>
    </row>
    <row r="76" spans="1:4">
      <c r="A76" s="61" t="s">
        <v>57</v>
      </c>
      <c r="B76" s="23"/>
      <c r="C76" s="28">
        <f>C75+C72+C69+C62+C49+C45+C38+C31+C27+C20+C17+C16+C14+C13</f>
        <v>21.619999999999997</v>
      </c>
      <c r="D76" s="57">
        <f>D75+D72+D69+D62+D49+D45+D38+D31+D27+D20+D16+D14+D13</f>
        <v>404580.11300000001</v>
      </c>
    </row>
    <row r="78" spans="1:4">
      <c r="D78" s="42"/>
    </row>
    <row r="79" spans="1:4">
      <c r="D79" s="42"/>
    </row>
    <row r="80" spans="1:4">
      <c r="D80" s="42"/>
    </row>
    <row r="81" spans="4:4">
      <c r="D81" s="42"/>
    </row>
  </sheetData>
  <mergeCells count="31">
    <mergeCell ref="C38:C43"/>
    <mergeCell ref="D38:D43"/>
    <mergeCell ref="A12:D12"/>
    <mergeCell ref="A18:D18"/>
    <mergeCell ref="C20:C25"/>
    <mergeCell ref="D20:D25"/>
    <mergeCell ref="A26:D26"/>
    <mergeCell ref="C27:C28"/>
    <mergeCell ref="D27:D28"/>
    <mergeCell ref="A29:D29"/>
    <mergeCell ref="A30:D30"/>
    <mergeCell ref="C31:C36"/>
    <mergeCell ref="D31:D36"/>
    <mergeCell ref="A37:D37"/>
    <mergeCell ref="A44:D44"/>
    <mergeCell ref="C45:C47"/>
    <mergeCell ref="D45:D47"/>
    <mergeCell ref="A48:D48"/>
    <mergeCell ref="C49:C60"/>
    <mergeCell ref="D49:D60"/>
    <mergeCell ref="A71:D71"/>
    <mergeCell ref="C72:C74"/>
    <mergeCell ref="D72:D74"/>
    <mergeCell ref="A61:D61"/>
    <mergeCell ref="C62:C67"/>
    <mergeCell ref="D62:D67"/>
    <mergeCell ref="A68:D68"/>
    <mergeCell ref="A69:A70"/>
    <mergeCell ref="B69:B70"/>
    <mergeCell ref="C69:C70"/>
    <mergeCell ref="D69:D7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78"/>
  <sheetViews>
    <sheetView topLeftCell="A46" workbookViewId="0">
      <selection activeCell="A77" sqref="A77"/>
    </sheetView>
  </sheetViews>
  <sheetFormatPr defaultRowHeight="15"/>
  <cols>
    <col min="1" max="1" width="88.42578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158</v>
      </c>
      <c r="B2" s="2"/>
      <c r="C2" s="2"/>
      <c r="D2" s="2"/>
    </row>
    <row r="3" spans="1:4">
      <c r="A3" s="1" t="s">
        <v>58</v>
      </c>
      <c r="B3" s="2"/>
      <c r="C3" s="2"/>
      <c r="D3" s="2"/>
    </row>
    <row r="4" spans="1:4">
      <c r="A4" s="25" t="s">
        <v>59</v>
      </c>
      <c r="B4" s="2">
        <v>2013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21</v>
      </c>
      <c r="C7" s="2"/>
      <c r="D7" s="2"/>
    </row>
    <row r="8" spans="1:4">
      <c r="A8" s="25" t="s">
        <v>73</v>
      </c>
      <c r="B8" s="2">
        <v>1133.7</v>
      </c>
      <c r="C8" s="2"/>
      <c r="D8" s="2"/>
    </row>
    <row r="9" spans="1:4">
      <c r="A9" s="25" t="s">
        <v>63</v>
      </c>
      <c r="B9" s="2">
        <v>130.1</v>
      </c>
      <c r="C9" s="2"/>
      <c r="D9" s="2"/>
    </row>
    <row r="10" spans="1:4">
      <c r="A10" s="25" t="s">
        <v>74</v>
      </c>
      <c r="B10" s="2">
        <v>435.6</v>
      </c>
      <c r="C10" s="2"/>
      <c r="D10" s="2"/>
    </row>
    <row r="11" spans="1:4" ht="36.75">
      <c r="A11" s="60" t="s">
        <v>1</v>
      </c>
      <c r="B11" s="60" t="s">
        <v>2</v>
      </c>
      <c r="C11" s="60" t="s">
        <v>3</v>
      </c>
      <c r="D11" s="60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0" t="s">
        <v>7</v>
      </c>
      <c r="C13" s="59">
        <v>0.13</v>
      </c>
      <c r="D13" s="29">
        <f>C13*12*B8</f>
        <v>1768.5720000000001</v>
      </c>
    </row>
    <row r="14" spans="1:4" ht="75.75" customHeight="1">
      <c r="A14" s="6" t="s">
        <v>90</v>
      </c>
      <c r="B14" s="60" t="s">
        <v>9</v>
      </c>
      <c r="C14" s="26">
        <v>2.79</v>
      </c>
      <c r="D14" s="29">
        <f>C14*12*B8</f>
        <v>37956.276000000005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61"/>
      <c r="C16" s="61"/>
      <c r="D16" s="61"/>
    </row>
    <row r="17" spans="1:4" ht="13.5" customHeight="1">
      <c r="A17" s="6" t="s">
        <v>12</v>
      </c>
      <c r="B17" s="60" t="s">
        <v>76</v>
      </c>
      <c r="C17" s="118">
        <v>2.16</v>
      </c>
      <c r="D17" s="125">
        <f>C17*B8*12</f>
        <v>29385.504000000004</v>
      </c>
    </row>
    <row r="18" spans="1:4" ht="12.75" customHeight="1">
      <c r="A18" s="6" t="s">
        <v>13</v>
      </c>
      <c r="B18" s="60" t="s">
        <v>76</v>
      </c>
      <c r="C18" s="118"/>
      <c r="D18" s="126"/>
    </row>
    <row r="19" spans="1:4" ht="14.25" customHeight="1">
      <c r="A19" s="6" t="s">
        <v>14</v>
      </c>
      <c r="B19" s="60" t="s">
        <v>76</v>
      </c>
      <c r="C19" s="118"/>
      <c r="D19" s="126"/>
    </row>
    <row r="20" spans="1:4" ht="13.5" customHeight="1">
      <c r="A20" s="6" t="s">
        <v>15</v>
      </c>
      <c r="B20" s="60" t="s">
        <v>77</v>
      </c>
      <c r="C20" s="118"/>
      <c r="D20" s="126"/>
    </row>
    <row r="21" spans="1:4" ht="12.75" customHeight="1">
      <c r="A21" s="41" t="s">
        <v>94</v>
      </c>
      <c r="B21" s="60"/>
      <c r="C21" s="118"/>
      <c r="D21" s="126"/>
    </row>
    <row r="22" spans="1:4" ht="30" customHeight="1">
      <c r="A22" s="6" t="s">
        <v>16</v>
      </c>
      <c r="B22" s="60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C24*B8*12</f>
        <v>2720.88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C28*B8*12</f>
        <v>8298.6840000000011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89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C35*B8*12</f>
        <v>13604.400000000001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89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0.69</v>
      </c>
      <c r="D42" s="118">
        <f>C42*12*B8</f>
        <v>9387.0360000000001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3.77</v>
      </c>
      <c r="D46" s="117">
        <f>C46*12*B8+0.11</f>
        <v>51288.698000000004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61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25</v>
      </c>
      <c r="C53" s="117"/>
      <c r="D53" s="117"/>
    </row>
    <row r="54" spans="1:4" ht="14.25" customHeight="1">
      <c r="A54" s="9" t="s">
        <v>43</v>
      </c>
      <c r="B54" s="23" t="s">
        <v>25</v>
      </c>
      <c r="C54" s="117"/>
      <c r="D54" s="117"/>
    </row>
    <row r="55" spans="1:4" ht="13.5" customHeight="1">
      <c r="A55" s="9" t="s">
        <v>44</v>
      </c>
      <c r="B55" s="23" t="s">
        <v>25</v>
      </c>
      <c r="C55" s="117"/>
      <c r="D55" s="117"/>
    </row>
    <row r="56" spans="1:4" ht="13.5" customHeight="1">
      <c r="A56" s="9" t="s">
        <v>45</v>
      </c>
      <c r="B56" s="21" t="s">
        <v>157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1.37</v>
      </c>
      <c r="D59" s="117">
        <f>C59*B8*12</f>
        <v>18638.028000000002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30.75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C66*B8*12</f>
        <v>32786.603999999999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29113.32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58">
        <v>4.3499999999999996</v>
      </c>
      <c r="D72" s="58">
        <v>101297.48</v>
      </c>
    </row>
    <row r="73" spans="1:4">
      <c r="A73" s="61" t="s">
        <v>57</v>
      </c>
      <c r="B73" s="23"/>
      <c r="C73" s="28">
        <f>C72+C69+C66+C59+C46+C42+C35+C28+C24+C17+C14+C13</f>
        <v>21.619999999999997</v>
      </c>
      <c r="D73" s="57">
        <f>D72+D69+D66+D59+D46+D42+D35+D28+D24+D17+D14+D13</f>
        <v>336245.48199999996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  <mergeCell ref="A41:D41"/>
    <mergeCell ref="C42:C44"/>
    <mergeCell ref="D42:D44"/>
    <mergeCell ref="A45:D45"/>
    <mergeCell ref="C46:C57"/>
    <mergeCell ref="D46:D57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78"/>
  <sheetViews>
    <sheetView topLeftCell="A52" workbookViewId="0">
      <selection activeCell="A72" sqref="A72"/>
    </sheetView>
  </sheetViews>
  <sheetFormatPr defaultRowHeight="15"/>
  <cols>
    <col min="1" max="1" width="88.710937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156</v>
      </c>
      <c r="B2" s="2"/>
      <c r="C2" s="2"/>
      <c r="D2" s="2"/>
    </row>
    <row r="3" spans="1:4">
      <c r="A3" s="1" t="s">
        <v>58</v>
      </c>
      <c r="B3" s="2"/>
      <c r="C3" s="2"/>
      <c r="D3" s="2"/>
    </row>
    <row r="4" spans="1:4">
      <c r="A4" s="25" t="s">
        <v>59</v>
      </c>
      <c r="B4" s="2">
        <v>2013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24</v>
      </c>
      <c r="C7" s="2"/>
      <c r="D7" s="2"/>
    </row>
    <row r="8" spans="1:4">
      <c r="A8" s="25" t="s">
        <v>73</v>
      </c>
      <c r="B8" s="2">
        <v>933.1</v>
      </c>
      <c r="C8" s="2"/>
      <c r="D8" s="2"/>
    </row>
    <row r="9" spans="1:4">
      <c r="A9" s="25" t="s">
        <v>63</v>
      </c>
      <c r="B9" s="2">
        <v>139.9</v>
      </c>
      <c r="C9" s="2"/>
      <c r="D9" s="2"/>
    </row>
    <row r="10" spans="1:4">
      <c r="A10" s="25" t="s">
        <v>74</v>
      </c>
      <c r="B10" s="2">
        <v>358.2</v>
      </c>
      <c r="C10" s="2"/>
      <c r="D10" s="2"/>
    </row>
    <row r="11" spans="1:4" ht="36.75">
      <c r="A11" s="60" t="s">
        <v>1</v>
      </c>
      <c r="B11" s="60" t="s">
        <v>2</v>
      </c>
      <c r="C11" s="60" t="s">
        <v>3</v>
      </c>
      <c r="D11" s="60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0" t="s">
        <v>7</v>
      </c>
      <c r="C13" s="59">
        <v>0.13</v>
      </c>
      <c r="D13" s="29">
        <f>C13*12*B8</f>
        <v>1455.6360000000002</v>
      </c>
    </row>
    <row r="14" spans="1:4" ht="75.75" customHeight="1">
      <c r="A14" s="6" t="s">
        <v>90</v>
      </c>
      <c r="B14" s="60" t="s">
        <v>9</v>
      </c>
      <c r="C14" s="26">
        <v>2.79</v>
      </c>
      <c r="D14" s="29">
        <f>C14*12*B8</f>
        <v>31240.188000000006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61"/>
      <c r="C16" s="61"/>
      <c r="D16" s="61"/>
    </row>
    <row r="17" spans="1:4" ht="13.5" customHeight="1">
      <c r="A17" s="6" t="s">
        <v>12</v>
      </c>
      <c r="B17" s="60" t="s">
        <v>76</v>
      </c>
      <c r="C17" s="118">
        <v>2.16</v>
      </c>
      <c r="D17" s="125">
        <f>C17*B8*12</f>
        <v>24185.952000000001</v>
      </c>
    </row>
    <row r="18" spans="1:4" ht="12.75" customHeight="1">
      <c r="A18" s="6" t="s">
        <v>13</v>
      </c>
      <c r="B18" s="60" t="s">
        <v>76</v>
      </c>
      <c r="C18" s="118"/>
      <c r="D18" s="126"/>
    </row>
    <row r="19" spans="1:4" ht="14.25" customHeight="1">
      <c r="A19" s="6" t="s">
        <v>14</v>
      </c>
      <c r="B19" s="60" t="s">
        <v>76</v>
      </c>
      <c r="C19" s="118"/>
      <c r="D19" s="126"/>
    </row>
    <row r="20" spans="1:4" ht="13.5" customHeight="1">
      <c r="A20" s="6" t="s">
        <v>15</v>
      </c>
      <c r="B20" s="60" t="s">
        <v>77</v>
      </c>
      <c r="C20" s="118"/>
      <c r="D20" s="126"/>
    </row>
    <row r="21" spans="1:4" ht="12.75" customHeight="1">
      <c r="A21" s="41" t="s">
        <v>94</v>
      </c>
      <c r="B21" s="60"/>
      <c r="C21" s="118"/>
      <c r="D21" s="126"/>
    </row>
    <row r="22" spans="1:4" ht="30" customHeight="1">
      <c r="A22" s="6" t="s">
        <v>16</v>
      </c>
      <c r="B22" s="60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C24*B8*12</f>
        <v>2239.44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C28*B8*12</f>
        <v>6830.2920000000004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89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C35*B8*12</f>
        <v>11197.2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89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0.69</v>
      </c>
      <c r="D42" s="118">
        <f>C42*12*B8</f>
        <v>7726.0679999999993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3.77</v>
      </c>
      <c r="D46" s="117">
        <f>C46*12*B8+0.2</f>
        <v>42213.644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61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25</v>
      </c>
      <c r="C53" s="117"/>
      <c r="D53" s="117"/>
    </row>
    <row r="54" spans="1:4" ht="14.25" customHeight="1">
      <c r="A54" s="9" t="s">
        <v>43</v>
      </c>
      <c r="B54" s="23" t="s">
        <v>25</v>
      </c>
      <c r="C54" s="117"/>
      <c r="D54" s="117"/>
    </row>
    <row r="55" spans="1:4" ht="13.5" customHeight="1">
      <c r="A55" s="9" t="s">
        <v>44</v>
      </c>
      <c r="B55" s="23" t="s">
        <v>25</v>
      </c>
      <c r="C55" s="117"/>
      <c r="D55" s="117"/>
    </row>
    <row r="56" spans="1:4" ht="13.5" customHeight="1">
      <c r="A56" s="9" t="s">
        <v>45</v>
      </c>
      <c r="B56" s="21" t="s">
        <v>157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1.37</v>
      </c>
      <c r="D59" s="117">
        <f>C59*B8*12</f>
        <v>15340.164000000002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29.25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C66*B8*12</f>
        <v>26985.252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23961.84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58">
        <v>4.3499999999999996</v>
      </c>
      <c r="D72" s="58">
        <v>52967.07</v>
      </c>
    </row>
    <row r="73" spans="1:4">
      <c r="A73" s="61" t="s">
        <v>57</v>
      </c>
      <c r="B73" s="23"/>
      <c r="C73" s="28">
        <f>C72+C69+C66+C59+C46+C42+C35+C28+C24+C17+C14+C13</f>
        <v>21.619999999999997</v>
      </c>
      <c r="D73" s="57">
        <f>D72+D69+D66+D59+D46+D42+D35+D28+D24+D17+D14+D13</f>
        <v>246342.74600000001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  <mergeCell ref="A41:D41"/>
    <mergeCell ref="C42:C44"/>
    <mergeCell ref="D42:D44"/>
    <mergeCell ref="A45:D45"/>
    <mergeCell ref="C46:C57"/>
    <mergeCell ref="D46:D57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78"/>
  <sheetViews>
    <sheetView topLeftCell="A52" workbookViewId="0">
      <selection activeCell="A72" sqref="A72"/>
    </sheetView>
  </sheetViews>
  <sheetFormatPr defaultRowHeight="15"/>
  <cols>
    <col min="1" max="1" width="92.285156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155</v>
      </c>
      <c r="B2" s="2"/>
      <c r="C2" s="2"/>
      <c r="D2" s="2"/>
    </row>
    <row r="3" spans="1:4">
      <c r="A3" s="1" t="s">
        <v>58</v>
      </c>
      <c r="B3" s="2"/>
      <c r="C3" s="2"/>
      <c r="D3" s="2"/>
    </row>
    <row r="4" spans="1:4">
      <c r="A4" s="25" t="s">
        <v>59</v>
      </c>
      <c r="B4" s="2">
        <v>2013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29</v>
      </c>
      <c r="C7" s="2"/>
      <c r="D7" s="2"/>
    </row>
    <row r="8" spans="1:4">
      <c r="A8" s="25" t="s">
        <v>73</v>
      </c>
      <c r="B8" s="2">
        <v>938.7</v>
      </c>
      <c r="C8" s="2"/>
      <c r="D8" s="2"/>
    </row>
    <row r="9" spans="1:4">
      <c r="A9" s="25" t="s">
        <v>63</v>
      </c>
      <c r="B9" s="2">
        <v>150.6</v>
      </c>
      <c r="C9" s="2"/>
      <c r="D9" s="2"/>
    </row>
    <row r="10" spans="1:4">
      <c r="A10" s="25" t="s">
        <v>74</v>
      </c>
      <c r="B10" s="2">
        <v>368.3</v>
      </c>
      <c r="C10" s="2"/>
      <c r="D10" s="2"/>
    </row>
    <row r="11" spans="1:4" ht="36.75">
      <c r="A11" s="60" t="s">
        <v>1</v>
      </c>
      <c r="B11" s="60" t="s">
        <v>2</v>
      </c>
      <c r="C11" s="60" t="s">
        <v>3</v>
      </c>
      <c r="D11" s="60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0" t="s">
        <v>7</v>
      </c>
      <c r="C13" s="59">
        <v>0.13</v>
      </c>
      <c r="D13" s="29">
        <f>C13*12*B8</f>
        <v>1464.3720000000001</v>
      </c>
    </row>
    <row r="14" spans="1:4" ht="75.75" customHeight="1">
      <c r="A14" s="6" t="s">
        <v>90</v>
      </c>
      <c r="B14" s="60" t="s">
        <v>9</v>
      </c>
      <c r="C14" s="26">
        <v>2.79</v>
      </c>
      <c r="D14" s="29">
        <f>C14*12*B8</f>
        <v>31427.676000000007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61"/>
      <c r="C16" s="61"/>
      <c r="D16" s="61"/>
    </row>
    <row r="17" spans="1:4" ht="13.5" customHeight="1">
      <c r="A17" s="6" t="s">
        <v>12</v>
      </c>
      <c r="B17" s="60" t="s">
        <v>76</v>
      </c>
      <c r="C17" s="118">
        <v>2.16</v>
      </c>
      <c r="D17" s="125">
        <f>C17*B8*12</f>
        <v>24331.104000000003</v>
      </c>
    </row>
    <row r="18" spans="1:4" ht="12.75" customHeight="1">
      <c r="A18" s="6" t="s">
        <v>13</v>
      </c>
      <c r="B18" s="60" t="s">
        <v>76</v>
      </c>
      <c r="C18" s="118"/>
      <c r="D18" s="126"/>
    </row>
    <row r="19" spans="1:4" ht="14.25" customHeight="1">
      <c r="A19" s="6" t="s">
        <v>14</v>
      </c>
      <c r="B19" s="60" t="s">
        <v>76</v>
      </c>
      <c r="C19" s="118"/>
      <c r="D19" s="126"/>
    </row>
    <row r="20" spans="1:4" ht="13.5" customHeight="1">
      <c r="A20" s="6" t="s">
        <v>15</v>
      </c>
      <c r="B20" s="60" t="s">
        <v>77</v>
      </c>
      <c r="C20" s="118"/>
      <c r="D20" s="126"/>
    </row>
    <row r="21" spans="1:4" ht="12.75" customHeight="1">
      <c r="A21" s="41" t="s">
        <v>94</v>
      </c>
      <c r="B21" s="60"/>
      <c r="C21" s="118"/>
      <c r="D21" s="126"/>
    </row>
    <row r="22" spans="1:4" ht="30" customHeight="1">
      <c r="A22" s="6" t="s">
        <v>16</v>
      </c>
      <c r="B22" s="60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C24*B8*12</f>
        <v>2252.88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C28*B8*12</f>
        <v>6871.2839999999997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89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C35*B8*12</f>
        <v>11264.400000000001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89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0.69</v>
      </c>
      <c r="D42" s="118">
        <f>C42*12*B8</f>
        <v>7772.4359999999997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3.77</v>
      </c>
      <c r="D46" s="117">
        <f>C46*12*B8-626.94</f>
        <v>41839.847999999998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61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25</v>
      </c>
      <c r="C53" s="117"/>
      <c r="D53" s="117"/>
    </row>
    <row r="54" spans="1:4" ht="14.25" customHeight="1">
      <c r="A54" s="9" t="s">
        <v>43</v>
      </c>
      <c r="B54" s="23" t="s">
        <v>25</v>
      </c>
      <c r="C54" s="117"/>
      <c r="D54" s="117"/>
    </row>
    <row r="55" spans="1:4" ht="13.5" customHeight="1">
      <c r="A55" s="9" t="s">
        <v>44</v>
      </c>
      <c r="B55" s="23" t="s">
        <v>25</v>
      </c>
      <c r="C55" s="117"/>
      <c r="D55" s="117"/>
    </row>
    <row r="56" spans="1:4" ht="13.5" customHeight="1">
      <c r="A56" s="9" t="s">
        <v>45</v>
      </c>
      <c r="B56" s="21" t="s">
        <v>152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1.37</v>
      </c>
      <c r="D59" s="117">
        <f>C59*B8*12</f>
        <v>15432.228000000003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27.75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C66*B8*12</f>
        <v>27147.204000000005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24017.16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58">
        <v>4.3499999999999996</v>
      </c>
      <c r="D72" s="58">
        <v>94124.18</v>
      </c>
    </row>
    <row r="73" spans="1:4">
      <c r="A73" s="61" t="s">
        <v>57</v>
      </c>
      <c r="B73" s="23"/>
      <c r="C73" s="28">
        <f>C72+C69+C66+C59+C46+C42+C35+C28+C24+C17+C14+C13</f>
        <v>21.619999999999997</v>
      </c>
      <c r="D73" s="57">
        <f>D72+D69+D66+D59+D46+D42+D35+D28+D24+D17+D14+D13</f>
        <v>287944.772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  <mergeCell ref="A41:D41"/>
    <mergeCell ref="C42:C44"/>
    <mergeCell ref="D42:D44"/>
    <mergeCell ref="A45:D45"/>
    <mergeCell ref="C46:C57"/>
    <mergeCell ref="D46:D57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78"/>
  <sheetViews>
    <sheetView topLeftCell="A55" workbookViewId="0">
      <selection activeCell="A72" sqref="A72"/>
    </sheetView>
  </sheetViews>
  <sheetFormatPr defaultRowHeight="15"/>
  <cols>
    <col min="1" max="1" width="88.8554687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153</v>
      </c>
      <c r="B2" s="2"/>
      <c r="C2" s="2"/>
      <c r="D2" s="2"/>
    </row>
    <row r="3" spans="1:4">
      <c r="A3" s="1" t="s">
        <v>58</v>
      </c>
      <c r="B3" s="2"/>
      <c r="C3" s="2"/>
      <c r="D3" s="2"/>
    </row>
    <row r="4" spans="1:4">
      <c r="A4" s="25" t="s">
        <v>59</v>
      </c>
      <c r="B4" s="2">
        <v>2013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2</v>
      </c>
      <c r="C6" s="2"/>
      <c r="D6" s="2"/>
    </row>
    <row r="7" spans="1:4">
      <c r="A7" s="25" t="s">
        <v>62</v>
      </c>
      <c r="B7" s="2">
        <v>18</v>
      </c>
      <c r="C7" s="2"/>
      <c r="D7" s="2"/>
    </row>
    <row r="8" spans="1:4">
      <c r="A8" s="25" t="s">
        <v>73</v>
      </c>
      <c r="B8" s="2">
        <v>997.5</v>
      </c>
      <c r="C8" s="2"/>
      <c r="D8" s="2"/>
    </row>
    <row r="9" spans="1:4">
      <c r="A9" s="25" t="s">
        <v>63</v>
      </c>
      <c r="B9" s="2">
        <v>104</v>
      </c>
      <c r="C9" s="2"/>
      <c r="D9" s="2"/>
    </row>
    <row r="10" spans="1:4">
      <c r="A10" s="25" t="s">
        <v>74</v>
      </c>
      <c r="B10" s="2">
        <v>383.4</v>
      </c>
      <c r="C10" s="2"/>
      <c r="D10" s="2"/>
    </row>
    <row r="11" spans="1:4" ht="36.75">
      <c r="A11" s="60" t="s">
        <v>1</v>
      </c>
      <c r="B11" s="60" t="s">
        <v>2</v>
      </c>
      <c r="C11" s="60" t="s">
        <v>3</v>
      </c>
      <c r="D11" s="60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0" t="s">
        <v>7</v>
      </c>
      <c r="C13" s="59">
        <v>0.13</v>
      </c>
      <c r="D13" s="29">
        <f>C13*12*B8</f>
        <v>1556.1000000000001</v>
      </c>
    </row>
    <row r="14" spans="1:4" ht="75.75" customHeight="1">
      <c r="A14" s="6" t="s">
        <v>90</v>
      </c>
      <c r="B14" s="60" t="s">
        <v>9</v>
      </c>
      <c r="C14" s="26">
        <v>2.79</v>
      </c>
      <c r="D14" s="29">
        <f>C14*12*B8</f>
        <v>33396.300000000003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61"/>
      <c r="C16" s="61"/>
      <c r="D16" s="61"/>
    </row>
    <row r="17" spans="1:4" ht="13.5" customHeight="1">
      <c r="A17" s="6" t="s">
        <v>12</v>
      </c>
      <c r="B17" s="60" t="s">
        <v>76</v>
      </c>
      <c r="C17" s="118">
        <v>2.16</v>
      </c>
      <c r="D17" s="125">
        <f>C17*B8*12</f>
        <v>25855.200000000004</v>
      </c>
    </row>
    <row r="18" spans="1:4" ht="12.75" customHeight="1">
      <c r="A18" s="6" t="s">
        <v>13</v>
      </c>
      <c r="B18" s="60" t="s">
        <v>76</v>
      </c>
      <c r="C18" s="118"/>
      <c r="D18" s="126"/>
    </row>
    <row r="19" spans="1:4" ht="14.25" customHeight="1">
      <c r="A19" s="6" t="s">
        <v>14</v>
      </c>
      <c r="B19" s="60" t="s">
        <v>76</v>
      </c>
      <c r="C19" s="118"/>
      <c r="D19" s="126"/>
    </row>
    <row r="20" spans="1:4" ht="13.5" customHeight="1">
      <c r="A20" s="6" t="s">
        <v>15</v>
      </c>
      <c r="B20" s="60" t="s">
        <v>77</v>
      </c>
      <c r="C20" s="118"/>
      <c r="D20" s="126"/>
    </row>
    <row r="21" spans="1:4" ht="12.75" customHeight="1">
      <c r="A21" s="41" t="s">
        <v>94</v>
      </c>
      <c r="B21" s="60"/>
      <c r="C21" s="118"/>
      <c r="D21" s="126"/>
    </row>
    <row r="22" spans="1:4" ht="30" customHeight="1">
      <c r="A22" s="6" t="s">
        <v>16</v>
      </c>
      <c r="B22" s="60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C24*B8*12</f>
        <v>2394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C28*B8*12</f>
        <v>7301.7000000000007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89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C35*B8*12</f>
        <v>11970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89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0.69</v>
      </c>
      <c r="D42" s="118">
        <f>C42*12*B8</f>
        <v>8259.2999999999993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3.77</v>
      </c>
      <c r="D46" s="117">
        <f>C46*12*B8-0.06</f>
        <v>45126.840000000004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61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25</v>
      </c>
      <c r="C53" s="117"/>
      <c r="D53" s="117"/>
    </row>
    <row r="54" spans="1:4" ht="14.25" customHeight="1">
      <c r="A54" s="9" t="s">
        <v>43</v>
      </c>
      <c r="B54" s="23" t="s">
        <v>25</v>
      </c>
      <c r="C54" s="117"/>
      <c r="D54" s="117"/>
    </row>
    <row r="55" spans="1:4" ht="13.5" customHeight="1">
      <c r="A55" s="9" t="s">
        <v>44</v>
      </c>
      <c r="B55" s="23" t="s">
        <v>25</v>
      </c>
      <c r="C55" s="117"/>
      <c r="D55" s="117"/>
    </row>
    <row r="56" spans="1:4" ht="13.5" customHeight="1">
      <c r="A56" s="9" t="s">
        <v>45</v>
      </c>
      <c r="B56" s="21" t="s">
        <v>154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1.37</v>
      </c>
      <c r="D59" s="117">
        <f>C59*B8*12</f>
        <v>16398.900000000001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26.25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C66*B8*12</f>
        <v>28847.700000000004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25615.8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58">
        <v>4.3499999999999996</v>
      </c>
      <c r="D72" s="58">
        <v>98848.05</v>
      </c>
    </row>
    <row r="73" spans="1:4">
      <c r="A73" s="61" t="s">
        <v>57</v>
      </c>
      <c r="B73" s="23"/>
      <c r="C73" s="28">
        <f>C72+C69+C66+C59+C46+C42+C35+C28+C24+C17+C14+C13</f>
        <v>21.619999999999997</v>
      </c>
      <c r="D73" s="57">
        <f>D72+D69+D66+D59+D46+D42+D35+D28+D24+D17+D14+D13</f>
        <v>305569.88999999996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  <mergeCell ref="A41:D41"/>
    <mergeCell ref="C42:C44"/>
    <mergeCell ref="D42:D44"/>
    <mergeCell ref="A45:D45"/>
    <mergeCell ref="C46:C57"/>
    <mergeCell ref="D46:D57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78"/>
  <sheetViews>
    <sheetView topLeftCell="A58" workbookViewId="0">
      <selection activeCell="A72" sqref="A72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151</v>
      </c>
      <c r="B2" s="2"/>
      <c r="C2" s="2"/>
      <c r="D2" s="2"/>
    </row>
    <row r="3" spans="1:4">
      <c r="A3" s="1" t="s">
        <v>58</v>
      </c>
      <c r="B3" s="2"/>
      <c r="C3" s="2"/>
      <c r="D3" s="2"/>
    </row>
    <row r="4" spans="1:4">
      <c r="A4" s="25" t="s">
        <v>59</v>
      </c>
      <c r="B4" s="2">
        <v>2013</v>
      </c>
      <c r="C4" s="2"/>
      <c r="D4" s="2"/>
    </row>
    <row r="5" spans="1:4">
      <c r="A5" s="25" t="s">
        <v>60</v>
      </c>
      <c r="B5" s="2">
        <v>3</v>
      </c>
      <c r="C5" s="2"/>
      <c r="D5" s="2"/>
    </row>
    <row r="6" spans="1:4">
      <c r="A6" s="25" t="s">
        <v>61</v>
      </c>
      <c r="B6" s="2">
        <v>1</v>
      </c>
      <c r="C6" s="2"/>
      <c r="D6" s="2"/>
    </row>
    <row r="7" spans="1:4">
      <c r="A7" s="25" t="s">
        <v>62</v>
      </c>
      <c r="B7" s="2">
        <v>9</v>
      </c>
      <c r="C7" s="2"/>
      <c r="D7" s="2"/>
    </row>
    <row r="8" spans="1:4">
      <c r="A8" s="25" t="s">
        <v>73</v>
      </c>
      <c r="B8" s="2">
        <v>370.4</v>
      </c>
      <c r="C8" s="2"/>
      <c r="D8" s="2"/>
    </row>
    <row r="9" spans="1:4">
      <c r="A9" s="25" t="s">
        <v>63</v>
      </c>
      <c r="B9" s="2">
        <v>57</v>
      </c>
      <c r="C9" s="2"/>
      <c r="D9" s="2"/>
    </row>
    <row r="10" spans="1:4">
      <c r="A10" s="25" t="s">
        <v>74</v>
      </c>
      <c r="B10" s="2">
        <v>154.80000000000001</v>
      </c>
      <c r="C10" s="2"/>
      <c r="D10" s="2"/>
    </row>
    <row r="11" spans="1:4" ht="36.75">
      <c r="A11" s="60" t="s">
        <v>1</v>
      </c>
      <c r="B11" s="60" t="s">
        <v>2</v>
      </c>
      <c r="C11" s="60" t="s">
        <v>3</v>
      </c>
      <c r="D11" s="60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60" t="s">
        <v>7</v>
      </c>
      <c r="C13" s="59">
        <v>0.13</v>
      </c>
      <c r="D13" s="29">
        <f>C13*12*B8</f>
        <v>577.82399999999996</v>
      </c>
    </row>
    <row r="14" spans="1:4" ht="75.75" customHeight="1">
      <c r="A14" s="6" t="s">
        <v>90</v>
      </c>
      <c r="B14" s="60" t="s">
        <v>9</v>
      </c>
      <c r="C14" s="26">
        <v>2.79</v>
      </c>
      <c r="D14" s="29">
        <f>C14*12*B8</f>
        <v>12400.992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61"/>
      <c r="C16" s="61"/>
      <c r="D16" s="61"/>
    </row>
    <row r="17" spans="1:4" ht="13.5" customHeight="1">
      <c r="A17" s="6" t="s">
        <v>12</v>
      </c>
      <c r="B17" s="60" t="s">
        <v>76</v>
      </c>
      <c r="C17" s="118">
        <v>2.16</v>
      </c>
      <c r="D17" s="125">
        <f>C17*B8*12</f>
        <v>9600.768</v>
      </c>
    </row>
    <row r="18" spans="1:4" ht="12.75" customHeight="1">
      <c r="A18" s="6" t="s">
        <v>13</v>
      </c>
      <c r="B18" s="60" t="s">
        <v>76</v>
      </c>
      <c r="C18" s="118"/>
      <c r="D18" s="126"/>
    </row>
    <row r="19" spans="1:4" ht="14.25" customHeight="1">
      <c r="A19" s="6" t="s">
        <v>14</v>
      </c>
      <c r="B19" s="60" t="s">
        <v>76</v>
      </c>
      <c r="C19" s="118"/>
      <c r="D19" s="126"/>
    </row>
    <row r="20" spans="1:4" ht="13.5" customHeight="1">
      <c r="A20" s="6" t="s">
        <v>15</v>
      </c>
      <c r="B20" s="60" t="s">
        <v>77</v>
      </c>
      <c r="C20" s="118"/>
      <c r="D20" s="126"/>
    </row>
    <row r="21" spans="1:4" ht="12.75" customHeight="1">
      <c r="A21" s="41" t="s">
        <v>94</v>
      </c>
      <c r="B21" s="60"/>
      <c r="C21" s="118"/>
      <c r="D21" s="126"/>
    </row>
    <row r="22" spans="1:4" ht="30" customHeight="1">
      <c r="A22" s="6" t="s">
        <v>16</v>
      </c>
      <c r="B22" s="60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C24*B8*12</f>
        <v>888.96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C28*B8*12</f>
        <v>2711.328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89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C35*B8*12</f>
        <v>4444.7999999999993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89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23</v>
      </c>
      <c r="C42" s="117">
        <v>0.69</v>
      </c>
      <c r="D42" s="118">
        <f>C42*12*B8</f>
        <v>3066.9119999999994</v>
      </c>
    </row>
    <row r="43" spans="1:4" ht="38.25" customHeight="1">
      <c r="A43" s="9" t="s">
        <v>32</v>
      </c>
      <c r="B43" s="22" t="s">
        <v>23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3.77</v>
      </c>
      <c r="D46" s="117">
        <f>C46*12*B8+0.1</f>
        <v>16756.995999999999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61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25</v>
      </c>
      <c r="C53" s="117"/>
      <c r="D53" s="117"/>
    </row>
    <row r="54" spans="1:4" ht="14.25" customHeight="1">
      <c r="A54" s="9" t="s">
        <v>43</v>
      </c>
      <c r="B54" s="23" t="s">
        <v>25</v>
      </c>
      <c r="C54" s="117"/>
      <c r="D54" s="117"/>
    </row>
    <row r="55" spans="1:4" ht="13.5" customHeight="1">
      <c r="A55" s="9" t="s">
        <v>44</v>
      </c>
      <c r="B55" s="23" t="s">
        <v>25</v>
      </c>
      <c r="C55" s="117"/>
      <c r="D55" s="117"/>
    </row>
    <row r="56" spans="1:4" ht="13.5" customHeight="1">
      <c r="A56" s="9" t="s">
        <v>45</v>
      </c>
      <c r="B56" s="21" t="s">
        <v>152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1.37</v>
      </c>
      <c r="D59" s="117">
        <f>C59*B8*12</f>
        <v>6089.3760000000002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26.25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10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f>C66*B8*12</f>
        <v>10711.968000000001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9511.92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58">
        <v>4.3499999999999996</v>
      </c>
      <c r="D72" s="58">
        <v>36336.31</v>
      </c>
    </row>
    <row r="73" spans="1:4">
      <c r="A73" s="61" t="s">
        <v>57</v>
      </c>
      <c r="B73" s="23"/>
      <c r="C73" s="28">
        <f>C72+C69+C66+C59+C46+C42+C35+C28+C24+C17+C14+C13</f>
        <v>21.619999999999997</v>
      </c>
      <c r="D73" s="57">
        <f>D72+D69+D66+D59+D46+D42+D35+D28+D24+D17+D14+D13</f>
        <v>113098.15399999998</v>
      </c>
    </row>
    <row r="75" spans="1:4">
      <c r="D75" s="42"/>
    </row>
    <row r="76" spans="1:4">
      <c r="D76" s="42"/>
    </row>
    <row r="77" spans="1:4">
      <c r="D77" s="42"/>
    </row>
    <row r="78" spans="1:4">
      <c r="D78" s="42"/>
    </row>
  </sheetData>
  <mergeCells count="31"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  <mergeCell ref="A41:D41"/>
    <mergeCell ref="C42:C44"/>
    <mergeCell ref="D42:D44"/>
    <mergeCell ref="A45:D45"/>
    <mergeCell ref="C46:C57"/>
    <mergeCell ref="D46:D57"/>
    <mergeCell ref="A68:D68"/>
    <mergeCell ref="C69:C71"/>
    <mergeCell ref="D69:D71"/>
    <mergeCell ref="A58:D58"/>
    <mergeCell ref="C59:C64"/>
    <mergeCell ref="D59:D64"/>
    <mergeCell ref="A65:D65"/>
    <mergeCell ref="A66:A67"/>
    <mergeCell ref="B66:B67"/>
    <mergeCell ref="C66:C67"/>
    <mergeCell ref="D66:D6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78"/>
  <sheetViews>
    <sheetView topLeftCell="A48" workbookViewId="0">
      <selection activeCell="A64" sqref="A64"/>
    </sheetView>
  </sheetViews>
  <sheetFormatPr defaultRowHeight="15"/>
  <cols>
    <col min="1" max="1" width="90.5703125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64</v>
      </c>
      <c r="E1" s="2"/>
      <c r="F1" s="2"/>
      <c r="G1" s="2"/>
    </row>
    <row r="2" spans="1:7">
      <c r="A2" s="1" t="s">
        <v>149</v>
      </c>
      <c r="B2" s="2"/>
      <c r="C2" s="2"/>
      <c r="D2" s="2"/>
      <c r="E2" s="2"/>
      <c r="F2" s="2"/>
      <c r="G2" s="2"/>
    </row>
    <row r="3" spans="1:7">
      <c r="A3" s="1" t="s">
        <v>110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59</v>
      </c>
      <c r="B5" s="2">
        <v>1963</v>
      </c>
      <c r="C5" s="2"/>
      <c r="D5" s="2"/>
      <c r="E5" s="2"/>
      <c r="F5" s="2"/>
      <c r="G5" s="2"/>
    </row>
    <row r="6" spans="1:7">
      <c r="A6" s="25" t="s">
        <v>60</v>
      </c>
      <c r="B6" s="2">
        <v>4</v>
      </c>
      <c r="C6" s="2"/>
      <c r="D6" s="2"/>
      <c r="E6" s="2"/>
      <c r="F6" s="2"/>
      <c r="G6" s="2"/>
    </row>
    <row r="7" spans="1:7">
      <c r="A7" s="25" t="s">
        <v>61</v>
      </c>
      <c r="B7" s="2">
        <v>2</v>
      </c>
      <c r="C7" s="2"/>
      <c r="D7" s="2"/>
      <c r="E7" s="2"/>
      <c r="F7" s="2"/>
      <c r="G7" s="2"/>
    </row>
    <row r="8" spans="1:7">
      <c r="A8" s="25" t="s">
        <v>62</v>
      </c>
      <c r="B8" s="2">
        <v>32</v>
      </c>
      <c r="C8" s="2"/>
      <c r="D8" s="2"/>
      <c r="E8" s="2"/>
      <c r="F8" s="2"/>
      <c r="G8" s="2"/>
    </row>
    <row r="9" spans="1:7">
      <c r="A9" s="25" t="s">
        <v>73</v>
      </c>
      <c r="B9" s="2">
        <v>1241.7</v>
      </c>
      <c r="C9" s="2"/>
      <c r="D9" s="2"/>
      <c r="E9" s="2"/>
      <c r="F9" s="2"/>
      <c r="G9" s="2"/>
    </row>
    <row r="10" spans="1:7">
      <c r="A10" s="25" t="s">
        <v>63</v>
      </c>
      <c r="B10" s="2">
        <v>92.5</v>
      </c>
      <c r="C10" s="2"/>
      <c r="D10" s="2"/>
      <c r="E10" s="2"/>
      <c r="F10" s="2"/>
      <c r="G10" s="2"/>
    </row>
    <row r="11" spans="1:7">
      <c r="A11" s="25" t="s">
        <v>74</v>
      </c>
      <c r="B11" s="48" t="s">
        <v>101</v>
      </c>
      <c r="C11" s="2"/>
      <c r="D11" s="2"/>
      <c r="E11" s="2"/>
      <c r="F11" s="2"/>
      <c r="G11" s="2"/>
    </row>
    <row r="12" spans="1:7" ht="45.75" customHeight="1">
      <c r="A12" s="60" t="s">
        <v>1</v>
      </c>
      <c r="B12" s="60" t="s">
        <v>2</v>
      </c>
      <c r="C12" s="60" t="s">
        <v>3</v>
      </c>
      <c r="D12" s="60" t="s">
        <v>4</v>
      </c>
      <c r="E12" s="142"/>
      <c r="F12" s="142"/>
      <c r="G12" s="142"/>
    </row>
    <row r="13" spans="1:7">
      <c r="A13" s="153" t="s">
        <v>5</v>
      </c>
      <c r="B13" s="154"/>
      <c r="C13" s="154"/>
      <c r="D13" s="155"/>
      <c r="E13" s="142"/>
      <c r="F13" s="142"/>
      <c r="G13" s="142"/>
    </row>
    <row r="14" spans="1:7" ht="87" customHeight="1">
      <c r="A14" s="6" t="s">
        <v>6</v>
      </c>
      <c r="B14" s="60" t="s">
        <v>7</v>
      </c>
      <c r="C14" s="59">
        <v>0.13</v>
      </c>
      <c r="D14" s="60">
        <f>C14*B9*11</f>
        <v>1775.6310000000003</v>
      </c>
      <c r="E14" s="142"/>
      <c r="F14" s="142"/>
      <c r="G14" s="142"/>
    </row>
    <row r="15" spans="1:7" ht="73.5" customHeight="1">
      <c r="A15" s="6" t="s">
        <v>8</v>
      </c>
      <c r="B15" s="60" t="s">
        <v>9</v>
      </c>
      <c r="C15" s="26">
        <v>2.0499999999999998</v>
      </c>
      <c r="D15" s="26">
        <f>C15*11*B9</f>
        <v>28000.334999999999</v>
      </c>
      <c r="E15" s="142"/>
      <c r="F15" s="143"/>
      <c r="G15" s="143"/>
    </row>
    <row r="16" spans="1:7" ht="12" customHeight="1">
      <c r="A16" s="149" t="s">
        <v>11</v>
      </c>
      <c r="B16" s="150"/>
      <c r="C16" s="150"/>
      <c r="D16" s="151"/>
      <c r="E16" s="152"/>
      <c r="F16" s="142"/>
      <c r="G16" s="142"/>
    </row>
    <row r="17" spans="1:7" ht="11.25" customHeight="1">
      <c r="A17" s="6" t="s">
        <v>12</v>
      </c>
      <c r="B17" s="60" t="s">
        <v>76</v>
      </c>
      <c r="C17" s="129">
        <v>2.16</v>
      </c>
      <c r="D17" s="129">
        <f>C17*11*B9</f>
        <v>29502.792000000001</v>
      </c>
      <c r="E17" s="152"/>
      <c r="F17" s="142"/>
      <c r="G17" s="142"/>
    </row>
    <row r="18" spans="1:7" ht="13.5" customHeight="1">
      <c r="A18" s="6" t="s">
        <v>13</v>
      </c>
      <c r="B18" s="60" t="s">
        <v>76</v>
      </c>
      <c r="C18" s="119"/>
      <c r="D18" s="119"/>
      <c r="E18" s="152"/>
      <c r="F18" s="142"/>
      <c r="G18" s="142"/>
    </row>
    <row r="19" spans="1:7" ht="12.75" customHeight="1">
      <c r="A19" s="6" t="s">
        <v>14</v>
      </c>
      <c r="B19" s="60" t="s">
        <v>76</v>
      </c>
      <c r="C19" s="119"/>
      <c r="D19" s="119"/>
      <c r="E19" s="152"/>
      <c r="F19" s="142"/>
      <c r="G19" s="142"/>
    </row>
    <row r="20" spans="1:7" ht="12" customHeight="1">
      <c r="A20" s="6" t="s">
        <v>15</v>
      </c>
      <c r="B20" s="60" t="s">
        <v>77</v>
      </c>
      <c r="C20" s="119"/>
      <c r="D20" s="119"/>
      <c r="E20" s="152"/>
      <c r="F20" s="142"/>
      <c r="G20" s="142"/>
    </row>
    <row r="21" spans="1:7" ht="24" customHeight="1">
      <c r="A21" s="6" t="s">
        <v>16</v>
      </c>
      <c r="B21" s="60" t="s">
        <v>95</v>
      </c>
      <c r="C21" s="120"/>
      <c r="D21" s="120"/>
      <c r="E21" s="152"/>
      <c r="F21" s="142"/>
      <c r="G21" s="142"/>
    </row>
    <row r="22" spans="1:7" ht="12" customHeight="1">
      <c r="A22" s="149" t="s">
        <v>17</v>
      </c>
      <c r="B22" s="150"/>
      <c r="C22" s="150"/>
      <c r="D22" s="151"/>
      <c r="E22" s="152"/>
      <c r="F22" s="142"/>
      <c r="G22" s="142"/>
    </row>
    <row r="23" spans="1:7" ht="12" customHeight="1">
      <c r="A23" s="7" t="s">
        <v>18</v>
      </c>
      <c r="B23" s="21" t="s">
        <v>79</v>
      </c>
      <c r="C23" s="118">
        <v>0.2</v>
      </c>
      <c r="D23" s="128">
        <f>C23*11*B9</f>
        <v>2731.7400000000002</v>
      </c>
      <c r="E23" s="15"/>
    </row>
    <row r="24" spans="1:7" ht="12" customHeight="1">
      <c r="A24" s="7" t="s">
        <v>19</v>
      </c>
      <c r="B24" s="21" t="s">
        <v>78</v>
      </c>
      <c r="C24" s="118"/>
      <c r="D24" s="128"/>
      <c r="E24" s="50"/>
    </row>
    <row r="25" spans="1:7" ht="12" customHeight="1">
      <c r="A25" s="124" t="s">
        <v>20</v>
      </c>
      <c r="B25" s="124"/>
      <c r="C25" s="124"/>
      <c r="D25" s="124"/>
      <c r="E25" s="142"/>
      <c r="F25" s="143"/>
      <c r="G25" s="143"/>
    </row>
    <row r="26" spans="1:7" ht="12" customHeight="1">
      <c r="A26" s="128" t="s">
        <v>21</v>
      </c>
      <c r="B26" s="128"/>
      <c r="C26" s="128"/>
      <c r="D26" s="128"/>
      <c r="E26" s="142"/>
      <c r="F26" s="143"/>
      <c r="G26" s="143"/>
    </row>
    <row r="27" spans="1:7" ht="41.25" customHeight="1">
      <c r="A27" s="8" t="s">
        <v>22</v>
      </c>
      <c r="B27" s="22" t="s">
        <v>80</v>
      </c>
      <c r="C27" s="118">
        <v>0.54</v>
      </c>
      <c r="D27" s="118">
        <f>C27*11*B9</f>
        <v>7375.6980000000003</v>
      </c>
      <c r="E27" s="142"/>
      <c r="F27" s="143"/>
      <c r="G27" s="143"/>
    </row>
    <row r="28" spans="1:7" ht="14.25" customHeight="1">
      <c r="A28" s="9" t="s">
        <v>24</v>
      </c>
      <c r="B28" s="23" t="s">
        <v>81</v>
      </c>
      <c r="C28" s="118"/>
      <c r="D28" s="118"/>
      <c r="E28" s="142"/>
      <c r="F28" s="143"/>
      <c r="G28" s="143"/>
    </row>
    <row r="29" spans="1:7" ht="12" customHeight="1">
      <c r="A29" s="9" t="s">
        <v>26</v>
      </c>
      <c r="B29" s="23" t="s">
        <v>81</v>
      </c>
      <c r="C29" s="118"/>
      <c r="D29" s="118"/>
      <c r="E29" s="142"/>
      <c r="F29" s="143"/>
      <c r="G29" s="143"/>
    </row>
    <row r="30" spans="1:7" ht="42.75" customHeight="1">
      <c r="A30" s="9" t="s">
        <v>27</v>
      </c>
      <c r="B30" s="22" t="s">
        <v>80</v>
      </c>
      <c r="C30" s="118"/>
      <c r="D30" s="118"/>
      <c r="E30" s="142"/>
      <c r="F30" s="143"/>
      <c r="G30" s="143"/>
    </row>
    <row r="31" spans="1:7" ht="12" customHeight="1">
      <c r="A31" s="9" t="s">
        <v>28</v>
      </c>
      <c r="B31" s="22" t="s">
        <v>25</v>
      </c>
      <c r="C31" s="118"/>
      <c r="D31" s="118"/>
      <c r="E31" s="142"/>
      <c r="F31" s="143"/>
      <c r="G31" s="143"/>
    </row>
    <row r="32" spans="1:7" ht="42" customHeight="1">
      <c r="A32" s="10" t="s">
        <v>29</v>
      </c>
      <c r="B32" s="22" t="s">
        <v>80</v>
      </c>
      <c r="C32" s="118"/>
      <c r="D32" s="118"/>
      <c r="E32" s="142"/>
      <c r="F32" s="143"/>
      <c r="G32" s="143"/>
    </row>
    <row r="33" spans="1:7" ht="12" customHeight="1">
      <c r="A33" s="128" t="s">
        <v>30</v>
      </c>
      <c r="B33" s="128"/>
      <c r="C33" s="128"/>
      <c r="D33" s="128"/>
      <c r="E33" s="142"/>
      <c r="F33" s="143"/>
      <c r="G33" s="143"/>
    </row>
    <row r="34" spans="1:7" ht="39" customHeight="1">
      <c r="A34" s="9" t="s">
        <v>31</v>
      </c>
      <c r="B34" s="22" t="s">
        <v>80</v>
      </c>
      <c r="C34" s="118">
        <v>0.62</v>
      </c>
      <c r="D34" s="118">
        <f>C34*11*B9</f>
        <v>8468.3940000000002</v>
      </c>
      <c r="E34" s="142"/>
      <c r="F34" s="143"/>
      <c r="G34" s="143"/>
    </row>
    <row r="35" spans="1:7" ht="34.5" customHeight="1">
      <c r="A35" s="9" t="s">
        <v>32</v>
      </c>
      <c r="B35" s="22" t="s">
        <v>80</v>
      </c>
      <c r="C35" s="118"/>
      <c r="D35" s="118"/>
      <c r="E35" s="142"/>
      <c r="F35" s="143"/>
      <c r="G35" s="143"/>
    </row>
    <row r="36" spans="1:7" ht="38.25" customHeight="1">
      <c r="A36" s="10" t="s">
        <v>33</v>
      </c>
      <c r="B36" s="22" t="s">
        <v>80</v>
      </c>
      <c r="C36" s="118"/>
      <c r="D36" s="118"/>
      <c r="E36" s="142"/>
      <c r="F36" s="143"/>
      <c r="G36" s="143"/>
    </row>
    <row r="37" spans="1:7" ht="12" customHeight="1">
      <c r="A37" s="128" t="s">
        <v>34</v>
      </c>
      <c r="B37" s="128"/>
      <c r="C37" s="128"/>
      <c r="D37" s="128"/>
      <c r="E37" s="142"/>
      <c r="F37" s="143"/>
      <c r="G37" s="143"/>
    </row>
    <row r="38" spans="1:7" ht="26.25" customHeight="1">
      <c r="A38" s="9" t="s">
        <v>35</v>
      </c>
      <c r="B38" s="22" t="s">
        <v>113</v>
      </c>
      <c r="C38" s="118">
        <v>3.35</v>
      </c>
      <c r="D38" s="118">
        <f>C38*11*B9</f>
        <v>45756.645000000004</v>
      </c>
      <c r="E38" s="142"/>
      <c r="F38" s="143"/>
      <c r="G38" s="143"/>
    </row>
    <row r="39" spans="1:7" ht="15" customHeight="1">
      <c r="A39" s="9" t="s">
        <v>36</v>
      </c>
      <c r="B39" s="22" t="s">
        <v>114</v>
      </c>
      <c r="C39" s="118"/>
      <c r="D39" s="118"/>
      <c r="E39" s="142"/>
      <c r="F39" s="143"/>
      <c r="G39" s="143"/>
    </row>
    <row r="40" spans="1:7" ht="14.25" customHeight="1">
      <c r="A40" s="9" t="s">
        <v>37</v>
      </c>
      <c r="B40" s="22" t="s">
        <v>85</v>
      </c>
      <c r="C40" s="118"/>
      <c r="D40" s="118"/>
      <c r="E40" s="142"/>
      <c r="F40" s="143"/>
      <c r="G40" s="143"/>
    </row>
    <row r="41" spans="1:7" ht="33" customHeight="1">
      <c r="A41" s="9" t="s">
        <v>38</v>
      </c>
      <c r="B41" s="22" t="s">
        <v>83</v>
      </c>
      <c r="C41" s="118"/>
      <c r="D41" s="118"/>
      <c r="E41" s="142"/>
      <c r="F41" s="143"/>
      <c r="G41" s="143"/>
    </row>
    <row r="42" spans="1:7" ht="27" customHeight="1">
      <c r="A42" s="9" t="s">
        <v>39</v>
      </c>
      <c r="B42" s="22" t="s">
        <v>83</v>
      </c>
      <c r="C42" s="118"/>
      <c r="D42" s="118"/>
      <c r="E42" s="142"/>
      <c r="F42" s="143"/>
      <c r="G42" s="143"/>
    </row>
    <row r="43" spans="1:7" ht="13.5" customHeight="1">
      <c r="A43" s="61" t="s">
        <v>40</v>
      </c>
      <c r="B43" s="6"/>
      <c r="C43" s="118"/>
      <c r="D43" s="118"/>
      <c r="E43" s="142"/>
      <c r="F43" s="143"/>
      <c r="G43" s="143"/>
    </row>
    <row r="44" spans="1:7" ht="42" customHeight="1">
      <c r="A44" s="9" t="s">
        <v>41</v>
      </c>
      <c r="B44" s="22" t="s">
        <v>80</v>
      </c>
      <c r="C44" s="118"/>
      <c r="D44" s="118"/>
      <c r="E44" s="4"/>
      <c r="F44" s="4"/>
      <c r="G44" s="4"/>
    </row>
    <row r="45" spans="1:7" ht="14.25" customHeight="1">
      <c r="A45" s="9" t="s">
        <v>42</v>
      </c>
      <c r="B45" s="22" t="s">
        <v>25</v>
      </c>
      <c r="C45" s="118"/>
      <c r="D45" s="118"/>
      <c r="E45" s="4"/>
      <c r="F45" s="4"/>
      <c r="G45" s="4"/>
    </row>
    <row r="46" spans="1:7" ht="15" customHeight="1">
      <c r="A46" s="9" t="s">
        <v>43</v>
      </c>
      <c r="B46" s="23" t="s">
        <v>25</v>
      </c>
      <c r="C46" s="118"/>
      <c r="D46" s="118"/>
      <c r="E46" s="4"/>
      <c r="F46" s="4"/>
      <c r="G46" s="4"/>
    </row>
    <row r="47" spans="1:7" ht="15.75" customHeight="1">
      <c r="A47" s="9" t="s">
        <v>44</v>
      </c>
      <c r="B47" s="23" t="s">
        <v>25</v>
      </c>
      <c r="C47" s="118"/>
      <c r="D47" s="118"/>
      <c r="E47" s="4"/>
      <c r="F47" s="4"/>
      <c r="G47" s="4"/>
    </row>
    <row r="48" spans="1:7" ht="18.75" customHeight="1">
      <c r="A48" s="9" t="s">
        <v>45</v>
      </c>
      <c r="B48" s="21" t="s">
        <v>150</v>
      </c>
      <c r="C48" s="118"/>
      <c r="D48" s="118"/>
      <c r="E48" s="5"/>
      <c r="F48" s="4"/>
      <c r="G48" s="4"/>
    </row>
    <row r="49" spans="1:7" ht="42" customHeight="1">
      <c r="A49" s="10" t="s">
        <v>46</v>
      </c>
      <c r="B49" s="22" t="s">
        <v>80</v>
      </c>
      <c r="C49" s="118"/>
      <c r="D49" s="118"/>
      <c r="E49" s="5"/>
      <c r="F49" s="4"/>
      <c r="G49" s="4"/>
    </row>
    <row r="50" spans="1:7" ht="12" customHeight="1">
      <c r="A50" s="128" t="s">
        <v>47</v>
      </c>
      <c r="B50" s="128"/>
      <c r="C50" s="128"/>
      <c r="D50" s="128"/>
      <c r="E50" s="142"/>
      <c r="F50" s="142"/>
      <c r="G50" s="142"/>
    </row>
    <row r="51" spans="1:7" ht="12" customHeight="1">
      <c r="A51" s="9" t="s">
        <v>48</v>
      </c>
      <c r="B51" s="22" t="s">
        <v>84</v>
      </c>
      <c r="C51" s="118">
        <v>1.54</v>
      </c>
      <c r="D51" s="118">
        <f>C51*11*B9</f>
        <v>21034.398000000001</v>
      </c>
      <c r="E51" s="142"/>
      <c r="F51" s="143"/>
      <c r="G51" s="143"/>
    </row>
    <row r="52" spans="1:7" ht="15" customHeight="1">
      <c r="A52" s="9" t="s">
        <v>49</v>
      </c>
      <c r="B52" s="22" t="s">
        <v>84</v>
      </c>
      <c r="C52" s="118"/>
      <c r="D52" s="118"/>
      <c r="E52" s="142"/>
      <c r="F52" s="143"/>
      <c r="G52" s="143"/>
    </row>
    <row r="53" spans="1:7" ht="28.5" customHeight="1">
      <c r="A53" s="9" t="s">
        <v>50</v>
      </c>
      <c r="B53" s="22" t="s">
        <v>85</v>
      </c>
      <c r="C53" s="118"/>
      <c r="D53" s="118"/>
      <c r="E53" s="142"/>
      <c r="F53" s="143"/>
      <c r="G53" s="143"/>
    </row>
    <row r="54" spans="1:7" ht="12" customHeight="1">
      <c r="A54" s="9" t="s">
        <v>51</v>
      </c>
      <c r="B54" s="22" t="s">
        <v>107</v>
      </c>
      <c r="C54" s="118"/>
      <c r="D54" s="118"/>
      <c r="E54" s="142"/>
      <c r="F54" s="143"/>
      <c r="G54" s="143"/>
    </row>
    <row r="55" spans="1:7" ht="36.75" customHeight="1">
      <c r="A55" s="10" t="s">
        <v>52</v>
      </c>
      <c r="B55" s="22" t="s">
        <v>80</v>
      </c>
      <c r="C55" s="118"/>
      <c r="D55" s="118"/>
      <c r="E55" s="142"/>
      <c r="F55" s="143"/>
      <c r="G55" s="143"/>
    </row>
    <row r="56" spans="1:7" ht="13.5" customHeight="1">
      <c r="A56" s="10" t="s">
        <v>53</v>
      </c>
      <c r="B56" s="23" t="s">
        <v>85</v>
      </c>
      <c r="C56" s="118"/>
      <c r="D56" s="118"/>
      <c r="E56" s="142"/>
      <c r="F56" s="143"/>
      <c r="G56" s="143"/>
    </row>
    <row r="57" spans="1:7" ht="15" customHeight="1">
      <c r="A57" s="124" t="s">
        <v>54</v>
      </c>
      <c r="B57" s="124"/>
      <c r="C57" s="124"/>
      <c r="D57" s="124"/>
      <c r="E57" s="142"/>
      <c r="F57" s="143"/>
      <c r="G57" s="143"/>
    </row>
    <row r="58" spans="1:7" ht="34.5" customHeight="1">
      <c r="A58" s="147" t="s">
        <v>55</v>
      </c>
      <c r="B58" s="141" t="s">
        <v>87</v>
      </c>
      <c r="C58" s="118">
        <v>2.41</v>
      </c>
      <c r="D58" s="118">
        <f>C58*11*B9</f>
        <v>32917.467000000004</v>
      </c>
      <c r="E58" s="142"/>
      <c r="F58" s="143"/>
      <c r="G58" s="143"/>
    </row>
    <row r="59" spans="1:7" ht="15" customHeight="1">
      <c r="A59" s="148"/>
      <c r="B59" s="141"/>
      <c r="C59" s="118"/>
      <c r="D59" s="118"/>
      <c r="E59" s="142"/>
      <c r="F59" s="143"/>
      <c r="G59" s="143"/>
    </row>
    <row r="60" spans="1:7" ht="12.75" customHeight="1">
      <c r="A60" s="61" t="s">
        <v>56</v>
      </c>
      <c r="B60" s="21"/>
      <c r="C60" s="58"/>
      <c r="D60" s="58"/>
      <c r="E60" s="142"/>
      <c r="F60" s="143"/>
      <c r="G60" s="143"/>
    </row>
    <row r="61" spans="1:7" ht="16.5" customHeight="1">
      <c r="A61" s="6" t="s">
        <v>91</v>
      </c>
      <c r="B61" s="21" t="s">
        <v>88</v>
      </c>
      <c r="C61" s="131">
        <v>2.14</v>
      </c>
      <c r="D61" s="133">
        <v>29229.97</v>
      </c>
    </row>
    <row r="62" spans="1:7">
      <c r="A62" s="6" t="s">
        <v>92</v>
      </c>
      <c r="B62" s="21" t="s">
        <v>88</v>
      </c>
      <c r="C62" s="132"/>
      <c r="D62" s="134"/>
    </row>
    <row r="63" spans="1:7" ht="15" customHeight="1">
      <c r="A63" s="6" t="s">
        <v>93</v>
      </c>
      <c r="B63" s="21" t="s">
        <v>88</v>
      </c>
      <c r="C63" s="130"/>
      <c r="D63" s="135"/>
    </row>
    <row r="64" spans="1:7" ht="39" customHeight="1">
      <c r="A64" s="6" t="s">
        <v>165</v>
      </c>
      <c r="B64" s="22" t="s">
        <v>80</v>
      </c>
      <c r="C64" s="58">
        <v>4.22</v>
      </c>
      <c r="D64" s="58">
        <v>57089.83</v>
      </c>
      <c r="E64" s="142"/>
      <c r="F64" s="143"/>
      <c r="G64" s="143"/>
    </row>
    <row r="65" spans="1:7" ht="12" customHeight="1">
      <c r="A65" s="61" t="s">
        <v>57</v>
      </c>
      <c r="B65" s="23"/>
      <c r="C65" s="28">
        <f>C64+C61+C58+C51+C38+C34+C27+C23+C17+C15+C14</f>
        <v>19.359999999999996</v>
      </c>
      <c r="D65" s="28">
        <f>D64+D61+D58+D51+D38+D34+D27+D23+D17+D15+D14</f>
        <v>263882.90000000002</v>
      </c>
      <c r="E65" s="142">
        <f>C65*11*B9</f>
        <v>264432.43199999997</v>
      </c>
      <c r="F65" s="143"/>
      <c r="G65" s="143"/>
    </row>
    <row r="66" spans="1:7">
      <c r="A66" s="62"/>
      <c r="B66" s="62"/>
      <c r="C66" s="62"/>
      <c r="D66" s="62"/>
      <c r="E66" s="62"/>
      <c r="F66" s="62"/>
      <c r="G66" s="62"/>
    </row>
    <row r="67" spans="1:7">
      <c r="A67" s="15"/>
      <c r="B67" s="16"/>
      <c r="C67" s="17"/>
      <c r="D67" s="17"/>
      <c r="E67" s="18"/>
      <c r="F67" s="18"/>
      <c r="G67" s="16"/>
    </row>
    <row r="68" spans="1:7" ht="17.25" customHeight="1">
      <c r="A68" s="15"/>
      <c r="B68" s="16"/>
      <c r="C68" s="144"/>
      <c r="D68" s="144"/>
      <c r="E68" s="146"/>
      <c r="F68" s="146"/>
      <c r="G68" s="16"/>
    </row>
    <row r="69" spans="1:7" ht="17.25" customHeight="1">
      <c r="A69" s="15"/>
      <c r="B69" s="16"/>
      <c r="C69" s="145"/>
      <c r="D69" s="145"/>
      <c r="E69" s="145"/>
      <c r="F69" s="145"/>
      <c r="G69" s="16"/>
    </row>
    <row r="70" spans="1:7" ht="17.25" customHeight="1">
      <c r="A70" s="19"/>
      <c r="B70" s="12"/>
      <c r="C70" s="13"/>
      <c r="D70" s="47"/>
      <c r="E70" s="13"/>
      <c r="F70" s="20"/>
      <c r="G70" s="14"/>
    </row>
    <row r="71" spans="1:7" ht="17.25" customHeight="1">
      <c r="A71" s="19"/>
      <c r="B71" s="12"/>
      <c r="C71" s="13"/>
      <c r="D71" s="13"/>
      <c r="E71" s="13"/>
      <c r="F71" s="13"/>
      <c r="G71" s="14"/>
    </row>
    <row r="72" spans="1:7" ht="17.25" customHeight="1">
      <c r="A72" s="19"/>
      <c r="B72" s="12"/>
      <c r="C72" s="13"/>
      <c r="D72" s="13"/>
      <c r="E72" s="13"/>
      <c r="F72" s="13"/>
      <c r="G72" s="14"/>
    </row>
    <row r="73" spans="1:7">
      <c r="A73" s="19"/>
      <c r="B73" s="12"/>
      <c r="C73" s="13"/>
      <c r="D73" s="13"/>
      <c r="E73" s="13"/>
      <c r="F73" s="13"/>
      <c r="G73" s="14"/>
    </row>
    <row r="74" spans="1:7">
      <c r="A74" s="19"/>
      <c r="B74" s="12"/>
      <c r="C74" s="13"/>
      <c r="D74" s="13"/>
      <c r="E74" s="13"/>
      <c r="F74" s="13"/>
      <c r="G74" s="14"/>
    </row>
    <row r="75" spans="1:7">
      <c r="A75" s="19"/>
      <c r="B75" s="12"/>
      <c r="C75" s="13"/>
      <c r="D75" s="13"/>
      <c r="E75" s="13"/>
      <c r="F75" s="13"/>
      <c r="G75" s="14"/>
    </row>
    <row r="76" spans="1:7">
      <c r="A76" s="19"/>
      <c r="B76" s="12"/>
      <c r="C76" s="13"/>
      <c r="D76" s="13"/>
      <c r="E76" s="13"/>
      <c r="F76" s="13"/>
      <c r="G76" s="14"/>
    </row>
    <row r="77" spans="1:7">
      <c r="A77" s="19"/>
      <c r="B77" s="12"/>
      <c r="C77" s="13"/>
      <c r="D77" s="13"/>
      <c r="E77" s="13"/>
      <c r="F77" s="13"/>
      <c r="G77" s="14"/>
    </row>
    <row r="78" spans="1:7">
      <c r="A78" s="11"/>
      <c r="B78" s="12"/>
      <c r="C78" s="13"/>
      <c r="D78" s="13"/>
      <c r="E78" s="13"/>
      <c r="F78" s="13"/>
      <c r="G78" s="14"/>
    </row>
  </sheetData>
  <mergeCells count="74">
    <mergeCell ref="E12:G12"/>
    <mergeCell ref="A13:D13"/>
    <mergeCell ref="E13:G13"/>
    <mergeCell ref="E14:G14"/>
    <mergeCell ref="E15:G15"/>
    <mergeCell ref="A16:D16"/>
    <mergeCell ref="E16:G16"/>
    <mergeCell ref="C17:C21"/>
    <mergeCell ref="D17:D21"/>
    <mergeCell ref="E17:G17"/>
    <mergeCell ref="E18:G18"/>
    <mergeCell ref="E19:G19"/>
    <mergeCell ref="E20:G20"/>
    <mergeCell ref="E21:G21"/>
    <mergeCell ref="A22:D22"/>
    <mergeCell ref="E22:G22"/>
    <mergeCell ref="C23:C24"/>
    <mergeCell ref="D23:D24"/>
    <mergeCell ref="A25:D25"/>
    <mergeCell ref="E25:G25"/>
    <mergeCell ref="A26:D26"/>
    <mergeCell ref="E26:G26"/>
    <mergeCell ref="C27:C32"/>
    <mergeCell ref="D27:D32"/>
    <mergeCell ref="E27:G27"/>
    <mergeCell ref="E28:G28"/>
    <mergeCell ref="E29:G29"/>
    <mergeCell ref="E30:G30"/>
    <mergeCell ref="E31:G31"/>
    <mergeCell ref="E32:G32"/>
    <mergeCell ref="A33:D33"/>
    <mergeCell ref="E33:G33"/>
    <mergeCell ref="C34:C36"/>
    <mergeCell ref="D34:D36"/>
    <mergeCell ref="E34:G34"/>
    <mergeCell ref="E35:G35"/>
    <mergeCell ref="E36:G36"/>
    <mergeCell ref="A37:D37"/>
    <mergeCell ref="E37:G37"/>
    <mergeCell ref="C38:C49"/>
    <mergeCell ref="D38:D49"/>
    <mergeCell ref="E38:G38"/>
    <mergeCell ref="E39:G39"/>
    <mergeCell ref="E40:G40"/>
    <mergeCell ref="E41:G41"/>
    <mergeCell ref="E42:G42"/>
    <mergeCell ref="E43:G43"/>
    <mergeCell ref="E60:G60"/>
    <mergeCell ref="C61:C63"/>
    <mergeCell ref="D61:D63"/>
    <mergeCell ref="E64:G64"/>
    <mergeCell ref="A50:D50"/>
    <mergeCell ref="E50:G50"/>
    <mergeCell ref="C51:C56"/>
    <mergeCell ref="D51:D56"/>
    <mergeCell ref="E51:G51"/>
    <mergeCell ref="E52:G52"/>
    <mergeCell ref="E53:G53"/>
    <mergeCell ref="E54:G54"/>
    <mergeCell ref="E55:G55"/>
    <mergeCell ref="E56:G56"/>
    <mergeCell ref="A57:D57"/>
    <mergeCell ref="E57:G57"/>
    <mergeCell ref="A58:A59"/>
    <mergeCell ref="B58:B59"/>
    <mergeCell ref="C58:C59"/>
    <mergeCell ref="D58:D59"/>
    <mergeCell ref="E58:G58"/>
    <mergeCell ref="E59:G59"/>
    <mergeCell ref="E65:G65"/>
    <mergeCell ref="C68:C69"/>
    <mergeCell ref="D68:D69"/>
    <mergeCell ref="E68:E69"/>
    <mergeCell ref="F68:F6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80"/>
  <sheetViews>
    <sheetView topLeftCell="A55" workbookViewId="0">
      <selection activeCell="A85" sqref="A85"/>
    </sheetView>
  </sheetViews>
  <sheetFormatPr defaultRowHeight="15"/>
  <cols>
    <col min="1" max="1" width="90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146</v>
      </c>
      <c r="B2" s="2"/>
      <c r="C2" s="2"/>
      <c r="D2" s="2"/>
    </row>
    <row r="3" spans="1:4">
      <c r="A3" s="1" t="s">
        <v>110</v>
      </c>
      <c r="B3" s="2"/>
      <c r="C3" s="2"/>
      <c r="D3" s="2"/>
    </row>
    <row r="4" spans="1:4">
      <c r="A4" s="25" t="s">
        <v>59</v>
      </c>
      <c r="B4" s="2">
        <v>1988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1699.7</v>
      </c>
      <c r="C8" s="2"/>
      <c r="D8" s="2"/>
    </row>
    <row r="9" spans="1:4">
      <c r="A9" s="25" t="s">
        <v>63</v>
      </c>
      <c r="B9" s="2">
        <v>174.3</v>
      </c>
      <c r="C9" s="2"/>
      <c r="D9" s="2"/>
    </row>
    <row r="10" spans="1:4">
      <c r="A10" s="25" t="s">
        <v>74</v>
      </c>
      <c r="B10" s="2">
        <v>440.9</v>
      </c>
      <c r="C10" s="2"/>
      <c r="D10" s="2"/>
    </row>
    <row r="11" spans="1:4" ht="36.75">
      <c r="A11" s="55" t="s">
        <v>1</v>
      </c>
      <c r="B11" s="55" t="s">
        <v>2</v>
      </c>
      <c r="C11" s="55" t="s">
        <v>3</v>
      </c>
      <c r="D11" s="55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55" t="s">
        <v>7</v>
      </c>
      <c r="C13" s="52">
        <v>0.13</v>
      </c>
      <c r="D13" s="29">
        <f>C13*11*B8</f>
        <v>2430.5710000000004</v>
      </c>
    </row>
    <row r="14" spans="1:4" ht="75.75" customHeight="1">
      <c r="A14" s="6" t="s">
        <v>90</v>
      </c>
      <c r="B14" s="55" t="s">
        <v>9</v>
      </c>
      <c r="C14" s="26">
        <v>2.79</v>
      </c>
      <c r="D14" s="29">
        <f>C14*11*B8</f>
        <v>52163.793000000005</v>
      </c>
    </row>
    <row r="15" spans="1:4">
      <c r="A15" s="6" t="s">
        <v>10</v>
      </c>
      <c r="B15" s="55"/>
      <c r="C15" s="26"/>
      <c r="D15" s="30"/>
    </row>
    <row r="16" spans="1:4">
      <c r="A16" s="6" t="s">
        <v>148</v>
      </c>
      <c r="B16" s="55" t="s">
        <v>108</v>
      </c>
      <c r="C16" s="46">
        <f>D16/11/B8</f>
        <v>0.4959698770371242</v>
      </c>
      <c r="D16" s="30">
        <v>9273</v>
      </c>
    </row>
    <row r="17" spans="1:4">
      <c r="A17" s="124" t="s">
        <v>11</v>
      </c>
      <c r="B17" s="124"/>
      <c r="C17" s="124"/>
      <c r="D17" s="124"/>
    </row>
    <row r="18" spans="1:4" ht="13.5" customHeight="1">
      <c r="A18" s="41" t="s">
        <v>98</v>
      </c>
      <c r="B18" s="54"/>
      <c r="C18" s="54"/>
      <c r="D18" s="54"/>
    </row>
    <row r="19" spans="1:4" ht="13.5" customHeight="1">
      <c r="A19" s="6" t="s">
        <v>12</v>
      </c>
      <c r="B19" s="55" t="s">
        <v>76</v>
      </c>
      <c r="C19" s="118">
        <v>2.16</v>
      </c>
      <c r="D19" s="125">
        <f>C19*B8*11</f>
        <v>40384.872000000003</v>
      </c>
    </row>
    <row r="20" spans="1:4" ht="12.75" customHeight="1">
      <c r="A20" s="6" t="s">
        <v>13</v>
      </c>
      <c r="B20" s="55" t="s">
        <v>76</v>
      </c>
      <c r="C20" s="118"/>
      <c r="D20" s="126"/>
    </row>
    <row r="21" spans="1:4" ht="14.25" customHeight="1">
      <c r="A21" s="6" t="s">
        <v>14</v>
      </c>
      <c r="B21" s="55" t="s">
        <v>76</v>
      </c>
      <c r="C21" s="118"/>
      <c r="D21" s="126"/>
    </row>
    <row r="22" spans="1:4" ht="13.5" customHeight="1">
      <c r="A22" s="6" t="s">
        <v>15</v>
      </c>
      <c r="B22" s="55" t="s">
        <v>77</v>
      </c>
      <c r="C22" s="118"/>
      <c r="D22" s="126"/>
    </row>
    <row r="23" spans="1:4" ht="12.75" customHeight="1">
      <c r="A23" s="41" t="s">
        <v>94</v>
      </c>
      <c r="B23" s="55"/>
      <c r="C23" s="118"/>
      <c r="D23" s="126"/>
    </row>
    <row r="24" spans="1:4" ht="30" customHeight="1">
      <c r="A24" s="6" t="s">
        <v>16</v>
      </c>
      <c r="B24" s="55" t="s">
        <v>95</v>
      </c>
      <c r="C24" s="118"/>
      <c r="D24" s="127"/>
    </row>
    <row r="25" spans="1:4" ht="12.75" customHeight="1">
      <c r="A25" s="121" t="s">
        <v>17</v>
      </c>
      <c r="B25" s="122"/>
      <c r="C25" s="122"/>
      <c r="D25" s="123"/>
    </row>
    <row r="26" spans="1:4" ht="12" customHeight="1">
      <c r="A26" s="7" t="s">
        <v>18</v>
      </c>
      <c r="B26" s="21" t="s">
        <v>79</v>
      </c>
      <c r="C26" s="118">
        <v>0.2</v>
      </c>
      <c r="D26" s="128">
        <f>C26*B8*11</f>
        <v>3739.3400000000006</v>
      </c>
    </row>
    <row r="27" spans="1:4" ht="12" customHeight="1">
      <c r="A27" s="7" t="s">
        <v>19</v>
      </c>
      <c r="B27" s="21" t="s">
        <v>78</v>
      </c>
      <c r="C27" s="118"/>
      <c r="D27" s="128"/>
    </row>
    <row r="28" spans="1:4" ht="13.5" customHeight="1">
      <c r="A28" s="121" t="s">
        <v>20</v>
      </c>
      <c r="B28" s="122"/>
      <c r="C28" s="122"/>
      <c r="D28" s="123"/>
    </row>
    <row r="29" spans="1:4">
      <c r="A29" s="128" t="s">
        <v>21</v>
      </c>
      <c r="B29" s="128"/>
      <c r="C29" s="128"/>
      <c r="D29" s="128"/>
    </row>
    <row r="30" spans="1:4" ht="37.5" customHeight="1">
      <c r="A30" s="8" t="s">
        <v>22</v>
      </c>
      <c r="B30" s="22" t="s">
        <v>80</v>
      </c>
      <c r="C30" s="118">
        <v>0.61</v>
      </c>
      <c r="D30" s="117">
        <f>C30*B8*11</f>
        <v>11404.987000000001</v>
      </c>
    </row>
    <row r="31" spans="1:4" ht="15" customHeight="1">
      <c r="A31" s="9" t="s">
        <v>24</v>
      </c>
      <c r="B31" s="23" t="s">
        <v>81</v>
      </c>
      <c r="C31" s="118"/>
      <c r="D31" s="126"/>
    </row>
    <row r="32" spans="1:4" ht="13.5" customHeight="1">
      <c r="A32" s="9" t="s">
        <v>26</v>
      </c>
      <c r="B32" s="23" t="s">
        <v>81</v>
      </c>
      <c r="C32" s="118"/>
      <c r="D32" s="126"/>
    </row>
    <row r="33" spans="1:4" ht="36" customHeight="1">
      <c r="A33" s="9" t="s">
        <v>27</v>
      </c>
      <c r="B33" s="22" t="s">
        <v>23</v>
      </c>
      <c r="C33" s="118"/>
      <c r="D33" s="126"/>
    </row>
    <row r="34" spans="1:4" ht="14.25" customHeight="1">
      <c r="A34" s="9" t="s">
        <v>28</v>
      </c>
      <c r="B34" s="22" t="s">
        <v>89</v>
      </c>
      <c r="C34" s="118"/>
      <c r="D34" s="126"/>
    </row>
    <row r="35" spans="1:4" ht="33.75" customHeight="1">
      <c r="A35" s="24" t="s">
        <v>29</v>
      </c>
      <c r="B35" s="22" t="s">
        <v>23</v>
      </c>
      <c r="C35" s="129"/>
      <c r="D35" s="127"/>
    </row>
    <row r="36" spans="1:4" ht="15.75" customHeight="1">
      <c r="A36" s="128" t="s">
        <v>66</v>
      </c>
      <c r="B36" s="128"/>
      <c r="C36" s="128"/>
      <c r="D36" s="128"/>
    </row>
    <row r="37" spans="1:4" ht="36.75" customHeight="1">
      <c r="A37" s="9" t="s">
        <v>67</v>
      </c>
      <c r="B37" s="22" t="s">
        <v>80</v>
      </c>
      <c r="C37" s="117">
        <v>1</v>
      </c>
      <c r="D37" s="118">
        <f>C37*B8*11</f>
        <v>18696.7</v>
      </c>
    </row>
    <row r="38" spans="1:4" ht="14.25" customHeight="1">
      <c r="A38" s="9" t="s">
        <v>68</v>
      </c>
      <c r="B38" s="22" t="s">
        <v>81</v>
      </c>
      <c r="C38" s="117"/>
      <c r="D38" s="119"/>
    </row>
    <row r="39" spans="1:4" ht="14.25" customHeight="1">
      <c r="A39" s="9" t="s">
        <v>69</v>
      </c>
      <c r="B39" s="22" t="s">
        <v>81</v>
      </c>
      <c r="C39" s="117"/>
      <c r="D39" s="119"/>
    </row>
    <row r="40" spans="1:4" ht="24" customHeight="1">
      <c r="A40" s="9" t="s">
        <v>70</v>
      </c>
      <c r="B40" s="22" t="s">
        <v>80</v>
      </c>
      <c r="C40" s="117"/>
      <c r="D40" s="119"/>
    </row>
    <row r="41" spans="1:4" ht="25.5" customHeight="1">
      <c r="A41" s="10" t="s">
        <v>71</v>
      </c>
      <c r="B41" s="22" t="s">
        <v>80</v>
      </c>
      <c r="C41" s="117"/>
      <c r="D41" s="119"/>
    </row>
    <row r="42" spans="1:4" ht="14.25" customHeight="1">
      <c r="A42" s="9" t="s">
        <v>72</v>
      </c>
      <c r="B42" s="22" t="s">
        <v>89</v>
      </c>
      <c r="C42" s="117"/>
      <c r="D42" s="120"/>
    </row>
    <row r="43" spans="1:4" ht="11.25" customHeight="1">
      <c r="A43" s="130" t="s">
        <v>30</v>
      </c>
      <c r="B43" s="130"/>
      <c r="C43" s="130"/>
      <c r="D43" s="130"/>
    </row>
    <row r="44" spans="1:4" ht="35.25" customHeight="1">
      <c r="A44" s="9" t="s">
        <v>31</v>
      </c>
      <c r="B44" s="22" t="s">
        <v>23</v>
      </c>
      <c r="C44" s="117">
        <v>0.69</v>
      </c>
      <c r="D44" s="118">
        <f>C44*11*B8</f>
        <v>12900.723</v>
      </c>
    </row>
    <row r="45" spans="1:4" ht="38.25" customHeight="1">
      <c r="A45" s="9" t="s">
        <v>32</v>
      </c>
      <c r="B45" s="22" t="s">
        <v>23</v>
      </c>
      <c r="C45" s="117"/>
      <c r="D45" s="118"/>
    </row>
    <row r="46" spans="1:4" ht="15" customHeight="1">
      <c r="A46" s="10" t="s">
        <v>33</v>
      </c>
      <c r="B46" s="22" t="s">
        <v>23</v>
      </c>
      <c r="C46" s="117"/>
      <c r="D46" s="118"/>
    </row>
    <row r="47" spans="1:4" ht="12.75" customHeight="1">
      <c r="A47" s="128" t="s">
        <v>34</v>
      </c>
      <c r="B47" s="128"/>
      <c r="C47" s="128"/>
      <c r="D47" s="128"/>
    </row>
    <row r="48" spans="1:4" ht="29.25" customHeight="1">
      <c r="A48" s="9" t="s">
        <v>35</v>
      </c>
      <c r="B48" s="22" t="s">
        <v>78</v>
      </c>
      <c r="C48" s="117">
        <v>3.27</v>
      </c>
      <c r="D48" s="117">
        <f>C48*11*B8-55.83</f>
        <v>61082.379000000001</v>
      </c>
    </row>
    <row r="49" spans="1:4" ht="14.25" customHeight="1">
      <c r="A49" s="9" t="s">
        <v>36</v>
      </c>
      <c r="B49" s="22" t="s">
        <v>82</v>
      </c>
      <c r="C49" s="117"/>
      <c r="D49" s="117"/>
    </row>
    <row r="50" spans="1:4" ht="17.25" customHeight="1">
      <c r="A50" s="9" t="s">
        <v>37</v>
      </c>
      <c r="B50" s="22" t="s">
        <v>82</v>
      </c>
      <c r="C50" s="117"/>
      <c r="D50" s="117"/>
    </row>
    <row r="51" spans="1:4" ht="24.75" customHeight="1">
      <c r="A51" s="9" t="s">
        <v>38</v>
      </c>
      <c r="B51" s="22" t="s">
        <v>83</v>
      </c>
      <c r="C51" s="117"/>
      <c r="D51" s="117"/>
    </row>
    <row r="52" spans="1:4" ht="30" customHeight="1">
      <c r="A52" s="9" t="s">
        <v>39</v>
      </c>
      <c r="B52" s="22" t="s">
        <v>83</v>
      </c>
      <c r="C52" s="117"/>
      <c r="D52" s="117"/>
    </row>
    <row r="53" spans="1:4" ht="12.75" customHeight="1">
      <c r="A53" s="54" t="s">
        <v>96</v>
      </c>
      <c r="B53" s="6"/>
      <c r="C53" s="117"/>
      <c r="D53" s="117"/>
    </row>
    <row r="54" spans="1:4" ht="35.25" customHeight="1">
      <c r="A54" s="9" t="s">
        <v>41</v>
      </c>
      <c r="B54" s="22" t="s">
        <v>80</v>
      </c>
      <c r="C54" s="117"/>
      <c r="D54" s="117"/>
    </row>
    <row r="55" spans="1:4" ht="14.25" customHeight="1">
      <c r="A55" s="9" t="s">
        <v>42</v>
      </c>
      <c r="B55" s="22" t="s">
        <v>25</v>
      </c>
      <c r="C55" s="117"/>
      <c r="D55" s="117"/>
    </row>
    <row r="56" spans="1:4" ht="14.25" customHeight="1">
      <c r="A56" s="9" t="s">
        <v>43</v>
      </c>
      <c r="B56" s="23" t="s">
        <v>25</v>
      </c>
      <c r="C56" s="117"/>
      <c r="D56" s="117"/>
    </row>
    <row r="57" spans="1:4" ht="13.5" customHeight="1">
      <c r="A57" s="9" t="s">
        <v>44</v>
      </c>
      <c r="B57" s="23" t="s">
        <v>25</v>
      </c>
      <c r="C57" s="117"/>
      <c r="D57" s="117"/>
    </row>
    <row r="58" spans="1:4" ht="13.5" customHeight="1">
      <c r="A58" s="9" t="s">
        <v>45</v>
      </c>
      <c r="B58" s="21" t="s">
        <v>147</v>
      </c>
      <c r="C58" s="117"/>
      <c r="D58" s="117"/>
    </row>
    <row r="59" spans="1:4" ht="36.75" customHeight="1">
      <c r="A59" s="10" t="s">
        <v>46</v>
      </c>
      <c r="B59" s="22" t="s">
        <v>23</v>
      </c>
      <c r="C59" s="117"/>
      <c r="D59" s="117"/>
    </row>
    <row r="60" spans="1:4">
      <c r="A60" s="128" t="s">
        <v>47</v>
      </c>
      <c r="B60" s="128"/>
      <c r="C60" s="128"/>
      <c r="D60" s="128"/>
    </row>
    <row r="61" spans="1:4" ht="15.75" customHeight="1">
      <c r="A61" s="9" t="s">
        <v>48</v>
      </c>
      <c r="B61" s="22" t="s">
        <v>84</v>
      </c>
      <c r="C61" s="118">
        <v>1.37</v>
      </c>
      <c r="D61" s="117">
        <f>C61*B8*11</f>
        <v>25614.479000000003</v>
      </c>
    </row>
    <row r="62" spans="1:4" ht="12.75" customHeight="1">
      <c r="A62" s="9" t="s">
        <v>49</v>
      </c>
      <c r="B62" s="22" t="s">
        <v>84</v>
      </c>
      <c r="C62" s="118"/>
      <c r="D62" s="117"/>
    </row>
    <row r="63" spans="1:4" ht="28.5" customHeight="1">
      <c r="A63" s="9" t="s">
        <v>50</v>
      </c>
      <c r="B63" s="22" t="s">
        <v>84</v>
      </c>
      <c r="C63" s="118"/>
      <c r="D63" s="117"/>
    </row>
    <row r="64" spans="1:4" ht="16.5" customHeight="1">
      <c r="A64" s="9" t="s">
        <v>51</v>
      </c>
      <c r="B64" s="22" t="s">
        <v>84</v>
      </c>
      <c r="C64" s="118"/>
      <c r="D64" s="117"/>
    </row>
    <row r="65" spans="1:4" ht="39.75" customHeight="1">
      <c r="A65" s="10" t="s">
        <v>52</v>
      </c>
      <c r="B65" s="22" t="s">
        <v>23</v>
      </c>
      <c r="C65" s="118"/>
      <c r="D65" s="117"/>
    </row>
    <row r="66" spans="1:4" ht="16.5" customHeight="1">
      <c r="A66" s="10" t="s">
        <v>53</v>
      </c>
      <c r="B66" s="23" t="s">
        <v>85</v>
      </c>
      <c r="C66" s="118"/>
      <c r="D66" s="117"/>
    </row>
    <row r="67" spans="1:4">
      <c r="A67" s="121" t="s">
        <v>86</v>
      </c>
      <c r="B67" s="122"/>
      <c r="C67" s="122"/>
      <c r="D67" s="123"/>
    </row>
    <row r="68" spans="1:4" ht="26.25" customHeight="1">
      <c r="A68" s="139" t="s">
        <v>97</v>
      </c>
      <c r="B68" s="141" t="s">
        <v>87</v>
      </c>
      <c r="C68" s="118">
        <v>2.41</v>
      </c>
      <c r="D68" s="117">
        <f>C68*B8*11</f>
        <v>45059.046999999999</v>
      </c>
    </row>
    <row r="69" spans="1:4" ht="13.5" customHeight="1">
      <c r="A69" s="140"/>
      <c r="B69" s="141"/>
      <c r="C69" s="118"/>
      <c r="D69" s="117"/>
    </row>
    <row r="70" spans="1:4" ht="15" customHeight="1">
      <c r="A70" s="121" t="s">
        <v>56</v>
      </c>
      <c r="B70" s="122"/>
      <c r="C70" s="122"/>
      <c r="D70" s="123"/>
    </row>
    <row r="71" spans="1:4" ht="16.5" customHeight="1">
      <c r="A71" s="6" t="s">
        <v>91</v>
      </c>
      <c r="B71" s="21" t="s">
        <v>88</v>
      </c>
      <c r="C71" s="131">
        <v>2.14</v>
      </c>
      <c r="D71" s="133">
        <v>39992.42</v>
      </c>
    </row>
    <row r="72" spans="1:4">
      <c r="A72" s="6" t="s">
        <v>92</v>
      </c>
      <c r="B72" s="21" t="s">
        <v>88</v>
      </c>
      <c r="C72" s="132"/>
      <c r="D72" s="134"/>
    </row>
    <row r="73" spans="1:4" ht="15" customHeight="1">
      <c r="A73" s="6" t="s">
        <v>93</v>
      </c>
      <c r="B73" s="21" t="s">
        <v>88</v>
      </c>
      <c r="C73" s="130"/>
      <c r="D73" s="135"/>
    </row>
    <row r="74" spans="1:4" ht="38.25" customHeight="1">
      <c r="A74" s="6" t="s">
        <v>165</v>
      </c>
      <c r="B74" s="22" t="s">
        <v>23</v>
      </c>
      <c r="C74" s="53">
        <v>4.3499999999999996</v>
      </c>
      <c r="D74" s="53">
        <v>79836.97</v>
      </c>
    </row>
    <row r="75" spans="1:4">
      <c r="A75" s="54" t="s">
        <v>57</v>
      </c>
      <c r="B75" s="23"/>
      <c r="C75" s="28">
        <f>C74+C71+C68+C61+C48+C44+C37+C30+C26+C19+C16+C14+C13</f>
        <v>21.61596987703712</v>
      </c>
      <c r="D75" s="57">
        <f>D74+D71+D68+D61+D48+D44+D37+D30+D26+D19+D16+D14+D13</f>
        <v>402579.28100000002</v>
      </c>
    </row>
    <row r="77" spans="1:4">
      <c r="D77" s="42"/>
    </row>
    <row r="78" spans="1:4">
      <c r="D78" s="42"/>
    </row>
    <row r="79" spans="1:4">
      <c r="D79" s="42"/>
    </row>
    <row r="80" spans="1:4">
      <c r="D80" s="42"/>
    </row>
  </sheetData>
  <mergeCells count="31">
    <mergeCell ref="C37:C42"/>
    <mergeCell ref="D37:D42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A43:D43"/>
    <mergeCell ref="C44:C46"/>
    <mergeCell ref="D44:D46"/>
    <mergeCell ref="A47:D47"/>
    <mergeCell ref="C48:C59"/>
    <mergeCell ref="D48:D59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80"/>
  <sheetViews>
    <sheetView topLeftCell="A58" workbookViewId="0">
      <selection activeCell="A74" sqref="A74"/>
    </sheetView>
  </sheetViews>
  <sheetFormatPr defaultRowHeight="15"/>
  <cols>
    <col min="1" max="1" width="92.42578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143</v>
      </c>
      <c r="B2" s="2"/>
      <c r="C2" s="2"/>
      <c r="D2" s="2"/>
    </row>
    <row r="3" spans="1:4">
      <c r="A3" s="1" t="s">
        <v>110</v>
      </c>
      <c r="B3" s="2"/>
      <c r="C3" s="2"/>
      <c r="D3" s="2"/>
    </row>
    <row r="4" spans="1:4">
      <c r="A4" s="25" t="s">
        <v>59</v>
      </c>
      <c r="B4" s="2">
        <v>1991</v>
      </c>
      <c r="C4" s="2"/>
      <c r="D4" s="2"/>
    </row>
    <row r="5" spans="1:4">
      <c r="A5" s="25" t="s">
        <v>60</v>
      </c>
      <c r="B5" s="2">
        <v>4</v>
      </c>
      <c r="C5" s="2"/>
      <c r="D5" s="2"/>
    </row>
    <row r="6" spans="1:4">
      <c r="A6" s="25" t="s">
        <v>61</v>
      </c>
      <c r="B6" s="2">
        <v>3</v>
      </c>
      <c r="C6" s="2"/>
      <c r="D6" s="2"/>
    </row>
    <row r="7" spans="1:4">
      <c r="A7" s="25" t="s">
        <v>62</v>
      </c>
      <c r="B7" s="2">
        <v>36</v>
      </c>
      <c r="C7" s="2"/>
      <c r="D7" s="2"/>
    </row>
    <row r="8" spans="1:4">
      <c r="A8" s="25" t="s">
        <v>73</v>
      </c>
      <c r="B8" s="2">
        <v>1709.6</v>
      </c>
      <c r="C8" s="2"/>
      <c r="D8" s="2"/>
    </row>
    <row r="9" spans="1:4">
      <c r="A9" s="25" t="s">
        <v>63</v>
      </c>
      <c r="B9" s="2">
        <v>173.7</v>
      </c>
      <c r="C9" s="2"/>
      <c r="D9" s="2"/>
    </row>
    <row r="10" spans="1:4">
      <c r="A10" s="25" t="s">
        <v>74</v>
      </c>
      <c r="B10" s="2">
        <v>440.7</v>
      </c>
      <c r="C10" s="2"/>
      <c r="D10" s="2"/>
    </row>
    <row r="11" spans="1:4" ht="36.75">
      <c r="A11" s="55" t="s">
        <v>1</v>
      </c>
      <c r="B11" s="55" t="s">
        <v>2</v>
      </c>
      <c r="C11" s="55" t="s">
        <v>3</v>
      </c>
      <c r="D11" s="55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55" t="s">
        <v>7</v>
      </c>
      <c r="C13" s="52">
        <v>0.13</v>
      </c>
      <c r="D13" s="29">
        <f>C13*11*B8</f>
        <v>2444.7280000000001</v>
      </c>
    </row>
    <row r="14" spans="1:4" ht="75.75" customHeight="1">
      <c r="A14" s="6" t="s">
        <v>90</v>
      </c>
      <c r="B14" s="55" t="s">
        <v>9</v>
      </c>
      <c r="C14" s="26">
        <v>2.79</v>
      </c>
      <c r="D14" s="29">
        <f>C14*11*B8</f>
        <v>52467.623999999996</v>
      </c>
    </row>
    <row r="15" spans="1:4">
      <c r="A15" s="6" t="s">
        <v>10</v>
      </c>
      <c r="B15" s="55"/>
      <c r="C15" s="26"/>
      <c r="D15" s="30"/>
    </row>
    <row r="16" spans="1:4">
      <c r="A16" s="6" t="s">
        <v>144</v>
      </c>
      <c r="B16" s="55" t="s">
        <v>108</v>
      </c>
      <c r="C16" s="46">
        <v>0.44</v>
      </c>
      <c r="D16" s="30">
        <f>C16*11*B8</f>
        <v>8274.4639999999999</v>
      </c>
    </row>
    <row r="17" spans="1:4">
      <c r="A17" s="124" t="s">
        <v>11</v>
      </c>
      <c r="B17" s="124"/>
      <c r="C17" s="124"/>
      <c r="D17" s="124"/>
    </row>
    <row r="18" spans="1:4" ht="13.5" customHeight="1">
      <c r="A18" s="41" t="s">
        <v>98</v>
      </c>
      <c r="B18" s="54"/>
      <c r="C18" s="54"/>
      <c r="D18" s="54"/>
    </row>
    <row r="19" spans="1:4" ht="13.5" customHeight="1">
      <c r="A19" s="6" t="s">
        <v>12</v>
      </c>
      <c r="B19" s="55" t="s">
        <v>76</v>
      </c>
      <c r="C19" s="118">
        <v>2.16</v>
      </c>
      <c r="D19" s="125">
        <f>C19*B8*11</f>
        <v>40620.095999999998</v>
      </c>
    </row>
    <row r="20" spans="1:4" ht="12.75" customHeight="1">
      <c r="A20" s="6" t="s">
        <v>13</v>
      </c>
      <c r="B20" s="55" t="s">
        <v>76</v>
      </c>
      <c r="C20" s="118"/>
      <c r="D20" s="126"/>
    </row>
    <row r="21" spans="1:4" ht="14.25" customHeight="1">
      <c r="A21" s="6" t="s">
        <v>14</v>
      </c>
      <c r="B21" s="55" t="s">
        <v>76</v>
      </c>
      <c r="C21" s="118"/>
      <c r="D21" s="126"/>
    </row>
    <row r="22" spans="1:4" ht="13.5" customHeight="1">
      <c r="A22" s="6" t="s">
        <v>15</v>
      </c>
      <c r="B22" s="55" t="s">
        <v>77</v>
      </c>
      <c r="C22" s="118"/>
      <c r="D22" s="126"/>
    </row>
    <row r="23" spans="1:4" ht="12.75" customHeight="1">
      <c r="A23" s="41" t="s">
        <v>94</v>
      </c>
      <c r="B23" s="55"/>
      <c r="C23" s="118"/>
      <c r="D23" s="126"/>
    </row>
    <row r="24" spans="1:4" ht="30" customHeight="1">
      <c r="A24" s="6" t="s">
        <v>16</v>
      </c>
      <c r="B24" s="55" t="s">
        <v>95</v>
      </c>
      <c r="C24" s="118"/>
      <c r="D24" s="127"/>
    </row>
    <row r="25" spans="1:4" ht="12.75" customHeight="1">
      <c r="A25" s="121" t="s">
        <v>17</v>
      </c>
      <c r="B25" s="122"/>
      <c r="C25" s="122"/>
      <c r="D25" s="123"/>
    </row>
    <row r="26" spans="1:4" ht="12" customHeight="1">
      <c r="A26" s="7" t="s">
        <v>18</v>
      </c>
      <c r="B26" s="21" t="s">
        <v>79</v>
      </c>
      <c r="C26" s="118">
        <v>0.2</v>
      </c>
      <c r="D26" s="128">
        <f>C26*B8*11</f>
        <v>3761.1200000000003</v>
      </c>
    </row>
    <row r="27" spans="1:4" ht="12" customHeight="1">
      <c r="A27" s="7" t="s">
        <v>19</v>
      </c>
      <c r="B27" s="21" t="s">
        <v>78</v>
      </c>
      <c r="C27" s="118"/>
      <c r="D27" s="128"/>
    </row>
    <row r="28" spans="1:4" ht="13.5" customHeight="1">
      <c r="A28" s="121" t="s">
        <v>20</v>
      </c>
      <c r="B28" s="122"/>
      <c r="C28" s="122"/>
      <c r="D28" s="123"/>
    </row>
    <row r="29" spans="1:4">
      <c r="A29" s="128" t="s">
        <v>21</v>
      </c>
      <c r="B29" s="128"/>
      <c r="C29" s="128"/>
      <c r="D29" s="128"/>
    </row>
    <row r="30" spans="1:4" ht="37.5" customHeight="1">
      <c r="A30" s="8" t="s">
        <v>22</v>
      </c>
      <c r="B30" s="22" t="s">
        <v>80</v>
      </c>
      <c r="C30" s="118">
        <v>0.61</v>
      </c>
      <c r="D30" s="117">
        <f>C30*B8*11</f>
        <v>11471.415999999999</v>
      </c>
    </row>
    <row r="31" spans="1:4" ht="15" customHeight="1">
      <c r="A31" s="9" t="s">
        <v>24</v>
      </c>
      <c r="B31" s="23" t="s">
        <v>81</v>
      </c>
      <c r="C31" s="118"/>
      <c r="D31" s="126"/>
    </row>
    <row r="32" spans="1:4" ht="13.5" customHeight="1">
      <c r="A32" s="9" t="s">
        <v>26</v>
      </c>
      <c r="B32" s="23" t="s">
        <v>81</v>
      </c>
      <c r="C32" s="118"/>
      <c r="D32" s="126"/>
    </row>
    <row r="33" spans="1:4" ht="36" customHeight="1">
      <c r="A33" s="9" t="s">
        <v>27</v>
      </c>
      <c r="B33" s="22" t="s">
        <v>23</v>
      </c>
      <c r="C33" s="118"/>
      <c r="D33" s="126"/>
    </row>
    <row r="34" spans="1:4" ht="14.25" customHeight="1">
      <c r="A34" s="9" t="s">
        <v>28</v>
      </c>
      <c r="B34" s="22" t="s">
        <v>25</v>
      </c>
      <c r="C34" s="118"/>
      <c r="D34" s="126"/>
    </row>
    <row r="35" spans="1:4" ht="33.75" customHeight="1">
      <c r="A35" s="24" t="s">
        <v>29</v>
      </c>
      <c r="B35" s="22" t="s">
        <v>23</v>
      </c>
      <c r="C35" s="129"/>
      <c r="D35" s="127"/>
    </row>
    <row r="36" spans="1:4" ht="15.75" customHeight="1">
      <c r="A36" s="128" t="s">
        <v>66</v>
      </c>
      <c r="B36" s="128"/>
      <c r="C36" s="128"/>
      <c r="D36" s="128"/>
    </row>
    <row r="37" spans="1:4" ht="36.75" customHeight="1">
      <c r="A37" s="9" t="s">
        <v>67</v>
      </c>
      <c r="B37" s="22" t="s">
        <v>80</v>
      </c>
      <c r="C37" s="117">
        <v>1</v>
      </c>
      <c r="D37" s="118">
        <f>C37*B8*11</f>
        <v>18805.599999999999</v>
      </c>
    </row>
    <row r="38" spans="1:4" ht="14.25" customHeight="1">
      <c r="A38" s="9" t="s">
        <v>68</v>
      </c>
      <c r="B38" s="22" t="s">
        <v>81</v>
      </c>
      <c r="C38" s="117"/>
      <c r="D38" s="119"/>
    </row>
    <row r="39" spans="1:4" ht="14.25" customHeight="1">
      <c r="A39" s="9" t="s">
        <v>69</v>
      </c>
      <c r="B39" s="22" t="s">
        <v>81</v>
      </c>
      <c r="C39" s="117"/>
      <c r="D39" s="119"/>
    </row>
    <row r="40" spans="1:4" ht="24" customHeight="1">
      <c r="A40" s="9" t="s">
        <v>70</v>
      </c>
      <c r="B40" s="22" t="s">
        <v>80</v>
      </c>
      <c r="C40" s="117"/>
      <c r="D40" s="119"/>
    </row>
    <row r="41" spans="1:4" ht="25.5" customHeight="1">
      <c r="A41" s="10" t="s">
        <v>71</v>
      </c>
      <c r="B41" s="22" t="s">
        <v>80</v>
      </c>
      <c r="C41" s="117"/>
      <c r="D41" s="119"/>
    </row>
    <row r="42" spans="1:4" ht="14.25" customHeight="1">
      <c r="A42" s="9" t="s">
        <v>72</v>
      </c>
      <c r="B42" s="22" t="s">
        <v>25</v>
      </c>
      <c r="C42" s="117"/>
      <c r="D42" s="120"/>
    </row>
    <row r="43" spans="1:4" ht="11.25" customHeight="1">
      <c r="A43" s="130" t="s">
        <v>30</v>
      </c>
      <c r="B43" s="130"/>
      <c r="C43" s="130"/>
      <c r="D43" s="130"/>
    </row>
    <row r="44" spans="1:4" ht="35.25" customHeight="1">
      <c r="A44" s="9" t="s">
        <v>31</v>
      </c>
      <c r="B44" s="22" t="s">
        <v>23</v>
      </c>
      <c r="C44" s="117">
        <v>0.69</v>
      </c>
      <c r="D44" s="118">
        <f>C44*11*B8</f>
        <v>12975.864</v>
      </c>
    </row>
    <row r="45" spans="1:4" ht="38.25" customHeight="1">
      <c r="A45" s="9" t="s">
        <v>32</v>
      </c>
      <c r="B45" s="22" t="s">
        <v>23</v>
      </c>
      <c r="C45" s="117"/>
      <c r="D45" s="118"/>
    </row>
    <row r="46" spans="1:4" ht="15" customHeight="1">
      <c r="A46" s="10" t="s">
        <v>33</v>
      </c>
      <c r="B46" s="22" t="s">
        <v>23</v>
      </c>
      <c r="C46" s="117"/>
      <c r="D46" s="118"/>
    </row>
    <row r="47" spans="1:4" ht="12.75" customHeight="1">
      <c r="A47" s="128" t="s">
        <v>34</v>
      </c>
      <c r="B47" s="128"/>
      <c r="C47" s="128"/>
      <c r="D47" s="128"/>
    </row>
    <row r="48" spans="1:4" ht="29.25" customHeight="1">
      <c r="A48" s="9" t="s">
        <v>35</v>
      </c>
      <c r="B48" s="22" t="s">
        <v>78</v>
      </c>
      <c r="C48" s="117">
        <v>3.33</v>
      </c>
      <c r="D48" s="117">
        <f>C48*11*B8+60.47</f>
        <v>62683.118000000002</v>
      </c>
    </row>
    <row r="49" spans="1:4" ht="14.25" customHeight="1">
      <c r="A49" s="9" t="s">
        <v>36</v>
      </c>
      <c r="B49" s="22" t="s">
        <v>82</v>
      </c>
      <c r="C49" s="117"/>
      <c r="D49" s="117"/>
    </row>
    <row r="50" spans="1:4" ht="17.25" customHeight="1">
      <c r="A50" s="9" t="s">
        <v>37</v>
      </c>
      <c r="B50" s="22" t="s">
        <v>82</v>
      </c>
      <c r="C50" s="117"/>
      <c r="D50" s="117"/>
    </row>
    <row r="51" spans="1:4" ht="24.75" customHeight="1">
      <c r="A51" s="9" t="s">
        <v>38</v>
      </c>
      <c r="B51" s="22" t="s">
        <v>83</v>
      </c>
      <c r="C51" s="117"/>
      <c r="D51" s="117"/>
    </row>
    <row r="52" spans="1:4" ht="30" customHeight="1">
      <c r="A52" s="9" t="s">
        <v>39</v>
      </c>
      <c r="B52" s="22" t="s">
        <v>83</v>
      </c>
      <c r="C52" s="117"/>
      <c r="D52" s="117"/>
    </row>
    <row r="53" spans="1:4" ht="12.75" customHeight="1">
      <c r="A53" s="54" t="s">
        <v>96</v>
      </c>
      <c r="B53" s="6"/>
      <c r="C53" s="117"/>
      <c r="D53" s="117"/>
    </row>
    <row r="54" spans="1:4" ht="35.25" customHeight="1">
      <c r="A54" s="9" t="s">
        <v>41</v>
      </c>
      <c r="B54" s="22" t="s">
        <v>80</v>
      </c>
      <c r="C54" s="117"/>
      <c r="D54" s="117"/>
    </row>
    <row r="55" spans="1:4" ht="14.25" customHeight="1">
      <c r="A55" s="9" t="s">
        <v>42</v>
      </c>
      <c r="B55" s="22" t="s">
        <v>25</v>
      </c>
      <c r="C55" s="117"/>
      <c r="D55" s="117"/>
    </row>
    <row r="56" spans="1:4" ht="14.25" customHeight="1">
      <c r="A56" s="9" t="s">
        <v>43</v>
      </c>
      <c r="B56" s="23" t="s">
        <v>25</v>
      </c>
      <c r="C56" s="117"/>
      <c r="D56" s="117"/>
    </row>
    <row r="57" spans="1:4" ht="13.5" customHeight="1">
      <c r="A57" s="9" t="s">
        <v>44</v>
      </c>
      <c r="B57" s="23" t="s">
        <v>25</v>
      </c>
      <c r="C57" s="117"/>
      <c r="D57" s="117"/>
    </row>
    <row r="58" spans="1:4" ht="13.5" customHeight="1">
      <c r="A58" s="9" t="s">
        <v>45</v>
      </c>
      <c r="B58" s="21" t="s">
        <v>145</v>
      </c>
      <c r="C58" s="117"/>
      <c r="D58" s="117"/>
    </row>
    <row r="59" spans="1:4" ht="36.75" customHeight="1">
      <c r="A59" s="10" t="s">
        <v>46</v>
      </c>
      <c r="B59" s="22" t="s">
        <v>23</v>
      </c>
      <c r="C59" s="117"/>
      <c r="D59" s="117"/>
    </row>
    <row r="60" spans="1:4">
      <c r="A60" s="128" t="s">
        <v>47</v>
      </c>
      <c r="B60" s="128"/>
      <c r="C60" s="128"/>
      <c r="D60" s="128"/>
    </row>
    <row r="61" spans="1:4" ht="15.75" customHeight="1">
      <c r="A61" s="9" t="s">
        <v>48</v>
      </c>
      <c r="B61" s="22" t="s">
        <v>84</v>
      </c>
      <c r="C61" s="118">
        <v>1.37</v>
      </c>
      <c r="D61" s="117">
        <f>C61*B8*11</f>
        <v>25763.671999999999</v>
      </c>
    </row>
    <row r="62" spans="1:4" ht="12.75" customHeight="1">
      <c r="A62" s="9" t="s">
        <v>49</v>
      </c>
      <c r="B62" s="22" t="s">
        <v>84</v>
      </c>
      <c r="C62" s="118"/>
      <c r="D62" s="117"/>
    </row>
    <row r="63" spans="1:4" ht="22.5" customHeight="1">
      <c r="A63" s="9" t="s">
        <v>50</v>
      </c>
      <c r="B63" s="22" t="s">
        <v>84</v>
      </c>
      <c r="C63" s="118"/>
      <c r="D63" s="117"/>
    </row>
    <row r="64" spans="1:4" ht="16.5" customHeight="1">
      <c r="A64" s="9" t="s">
        <v>51</v>
      </c>
      <c r="B64" s="22" t="s">
        <v>84</v>
      </c>
      <c r="C64" s="118"/>
      <c r="D64" s="117"/>
    </row>
    <row r="65" spans="1:4" ht="39.75" customHeight="1">
      <c r="A65" s="10" t="s">
        <v>52</v>
      </c>
      <c r="B65" s="22" t="s">
        <v>23</v>
      </c>
      <c r="C65" s="118"/>
      <c r="D65" s="117"/>
    </row>
    <row r="66" spans="1:4" ht="16.5" customHeight="1">
      <c r="A66" s="10" t="s">
        <v>53</v>
      </c>
      <c r="B66" s="23" t="s">
        <v>85</v>
      </c>
      <c r="C66" s="118"/>
      <c r="D66" s="117"/>
    </row>
    <row r="67" spans="1:4">
      <c r="A67" s="121" t="s">
        <v>86</v>
      </c>
      <c r="B67" s="122"/>
      <c r="C67" s="122"/>
      <c r="D67" s="123"/>
    </row>
    <row r="68" spans="1:4" ht="26.25" customHeight="1">
      <c r="A68" s="139" t="s">
        <v>97</v>
      </c>
      <c r="B68" s="141" t="s">
        <v>87</v>
      </c>
      <c r="C68" s="118">
        <v>2.41</v>
      </c>
      <c r="D68" s="117">
        <f>C68*B8*11</f>
        <v>45321.496000000006</v>
      </c>
    </row>
    <row r="69" spans="1:4" ht="13.5" customHeight="1">
      <c r="A69" s="140"/>
      <c r="B69" s="141"/>
      <c r="C69" s="118"/>
      <c r="D69" s="117"/>
    </row>
    <row r="70" spans="1:4" ht="15" customHeight="1">
      <c r="A70" s="121" t="s">
        <v>56</v>
      </c>
      <c r="B70" s="122"/>
      <c r="C70" s="122"/>
      <c r="D70" s="123"/>
    </row>
    <row r="71" spans="1:4" ht="16.5" customHeight="1">
      <c r="A71" s="6" t="s">
        <v>91</v>
      </c>
      <c r="B71" s="21" t="s">
        <v>88</v>
      </c>
      <c r="C71" s="131">
        <v>2.14</v>
      </c>
      <c r="D71" s="133">
        <v>40252.39</v>
      </c>
    </row>
    <row r="72" spans="1:4">
      <c r="A72" s="6" t="s">
        <v>92</v>
      </c>
      <c r="B72" s="21" t="s">
        <v>88</v>
      </c>
      <c r="C72" s="132"/>
      <c r="D72" s="134"/>
    </row>
    <row r="73" spans="1:4" ht="15" customHeight="1">
      <c r="A73" s="6" t="s">
        <v>93</v>
      </c>
      <c r="B73" s="21" t="s">
        <v>88</v>
      </c>
      <c r="C73" s="130"/>
      <c r="D73" s="135"/>
    </row>
    <row r="74" spans="1:4" ht="38.25" customHeight="1">
      <c r="A74" s="6" t="s">
        <v>165</v>
      </c>
      <c r="B74" s="22" t="s">
        <v>23</v>
      </c>
      <c r="C74" s="53">
        <v>4.3499999999999996</v>
      </c>
      <c r="D74" s="53">
        <v>80148.210000000006</v>
      </c>
    </row>
    <row r="75" spans="1:4">
      <c r="A75" s="54" t="s">
        <v>57</v>
      </c>
      <c r="B75" s="23"/>
      <c r="C75" s="28">
        <f>C74+C71+C68+C61+C48+C44+C37+C30+C26+C19+C16+C14+C13</f>
        <v>21.619999999999997</v>
      </c>
      <c r="D75" s="57">
        <f>D74+D71+D68+D61+D48+D44+D37+D30+D26+D19+D16+D14+D13</f>
        <v>404989.79800000001</v>
      </c>
    </row>
    <row r="77" spans="1:4">
      <c r="D77" s="42"/>
    </row>
    <row r="78" spans="1:4">
      <c r="D78" s="42"/>
    </row>
    <row r="79" spans="1:4">
      <c r="D79" s="42"/>
    </row>
    <row r="80" spans="1:4">
      <c r="D80" s="42"/>
    </row>
  </sheetData>
  <mergeCells count="31">
    <mergeCell ref="C37:C42"/>
    <mergeCell ref="D37:D42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  <mergeCell ref="A43:D43"/>
    <mergeCell ref="C44:C46"/>
    <mergeCell ref="D44:D46"/>
    <mergeCell ref="A47:D47"/>
    <mergeCell ref="C48:C59"/>
    <mergeCell ref="D48:D59"/>
    <mergeCell ref="A70:D70"/>
    <mergeCell ref="C71:C73"/>
    <mergeCell ref="D71:D73"/>
    <mergeCell ref="A60:D60"/>
    <mergeCell ref="C61:C66"/>
    <mergeCell ref="D61:D66"/>
    <mergeCell ref="A67:D67"/>
    <mergeCell ref="A68:A69"/>
    <mergeCell ref="B68:B69"/>
    <mergeCell ref="C68:C69"/>
    <mergeCell ref="D68:D6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82"/>
  <sheetViews>
    <sheetView topLeftCell="A58" workbookViewId="0">
      <selection activeCell="A77" sqref="A77"/>
    </sheetView>
  </sheetViews>
  <sheetFormatPr defaultRowHeight="15"/>
  <cols>
    <col min="1" max="1" width="90.710937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135</v>
      </c>
      <c r="B2" s="2"/>
      <c r="C2" s="2"/>
      <c r="D2" s="2"/>
    </row>
    <row r="3" spans="1:4">
      <c r="A3" s="1" t="s">
        <v>58</v>
      </c>
      <c r="B3" s="2"/>
      <c r="C3" s="2"/>
      <c r="D3" s="2"/>
    </row>
    <row r="4" spans="1:4">
      <c r="A4" s="25" t="s">
        <v>59</v>
      </c>
      <c r="B4" s="2">
        <v>1966</v>
      </c>
      <c r="C4" s="2"/>
      <c r="D4" s="2"/>
    </row>
    <row r="5" spans="1:4">
      <c r="A5" s="25" t="s">
        <v>60</v>
      </c>
      <c r="B5" s="2">
        <v>5</v>
      </c>
      <c r="C5" s="2"/>
      <c r="D5" s="2"/>
    </row>
    <row r="6" spans="1:4">
      <c r="A6" s="25" t="s">
        <v>61</v>
      </c>
      <c r="B6" s="2">
        <v>4</v>
      </c>
      <c r="C6" s="2"/>
      <c r="D6" s="2"/>
    </row>
    <row r="7" spans="1:4">
      <c r="A7" s="25" t="s">
        <v>62</v>
      </c>
      <c r="B7" s="2">
        <v>60</v>
      </c>
      <c r="C7" s="2"/>
      <c r="D7" s="2"/>
    </row>
    <row r="8" spans="1:4">
      <c r="A8" s="25" t="s">
        <v>73</v>
      </c>
      <c r="B8" s="2">
        <v>2307.9</v>
      </c>
      <c r="C8" s="2"/>
      <c r="D8" s="2"/>
    </row>
    <row r="9" spans="1:4">
      <c r="A9" s="25" t="s">
        <v>63</v>
      </c>
      <c r="B9" s="2">
        <v>184</v>
      </c>
      <c r="C9" s="2"/>
      <c r="D9" s="2"/>
    </row>
    <row r="10" spans="1:4">
      <c r="A10" s="25" t="s">
        <v>74</v>
      </c>
      <c r="B10" s="2">
        <v>501.7</v>
      </c>
      <c r="C10" s="2"/>
      <c r="D10" s="2"/>
    </row>
    <row r="11" spans="1:4" ht="36.75">
      <c r="A11" s="55" t="s">
        <v>1</v>
      </c>
      <c r="B11" s="55" t="s">
        <v>2</v>
      </c>
      <c r="C11" s="55" t="s">
        <v>3</v>
      </c>
      <c r="D11" s="55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55" t="s">
        <v>7</v>
      </c>
      <c r="C13" s="52">
        <v>0.13</v>
      </c>
      <c r="D13" s="29">
        <f>C13*B8*12</f>
        <v>3600.3240000000005</v>
      </c>
    </row>
    <row r="14" spans="1:4" ht="75.75" customHeight="1">
      <c r="A14" s="6" t="s">
        <v>90</v>
      </c>
      <c r="B14" s="55" t="s">
        <v>9</v>
      </c>
      <c r="C14" s="26">
        <v>2.38</v>
      </c>
      <c r="D14" s="29">
        <f>C14*B8*12</f>
        <v>65913.623999999996</v>
      </c>
    </row>
    <row r="15" spans="1:4">
      <c r="A15" s="6" t="s">
        <v>10</v>
      </c>
      <c r="B15" s="55"/>
      <c r="C15" s="26"/>
      <c r="D15" s="30"/>
    </row>
    <row r="16" spans="1:4">
      <c r="A16" s="6" t="s">
        <v>139</v>
      </c>
      <c r="B16" s="55" t="s">
        <v>89</v>
      </c>
      <c r="C16" s="46">
        <v>0.47</v>
      </c>
      <c r="D16" s="30">
        <f>C16*12*B8</f>
        <v>13016.556</v>
      </c>
    </row>
    <row r="17" spans="1:4">
      <c r="A17" s="6" t="s">
        <v>137</v>
      </c>
      <c r="B17" s="55" t="s">
        <v>140</v>
      </c>
      <c r="C17" s="26">
        <v>0.2</v>
      </c>
      <c r="D17" s="30">
        <f>C17*B8*12</f>
        <v>5538.9600000000009</v>
      </c>
    </row>
    <row r="18" spans="1:4">
      <c r="A18" s="6" t="s">
        <v>138</v>
      </c>
      <c r="B18" s="55" t="s">
        <v>140</v>
      </c>
      <c r="C18" s="26">
        <v>0.19</v>
      </c>
      <c r="D18" s="30">
        <f>C18*12*B8</f>
        <v>5262.0120000000006</v>
      </c>
    </row>
    <row r="19" spans="1:4">
      <c r="A19" s="6" t="s">
        <v>136</v>
      </c>
      <c r="B19" s="55" t="s">
        <v>25</v>
      </c>
      <c r="C19" s="26">
        <v>1.1399999999999999</v>
      </c>
      <c r="D19" s="30">
        <f>C19*B8*12</f>
        <v>31572.072</v>
      </c>
    </row>
    <row r="20" spans="1:4">
      <c r="A20" s="124" t="s">
        <v>11</v>
      </c>
      <c r="B20" s="124"/>
      <c r="C20" s="124"/>
      <c r="D20" s="124"/>
    </row>
    <row r="21" spans="1:4" ht="13.5" customHeight="1">
      <c r="A21" s="41" t="s">
        <v>98</v>
      </c>
      <c r="B21" s="54"/>
      <c r="C21" s="54"/>
      <c r="D21" s="54"/>
    </row>
    <row r="22" spans="1:4" ht="13.5" customHeight="1">
      <c r="A22" s="6" t="s">
        <v>12</v>
      </c>
      <c r="B22" s="55" t="s">
        <v>76</v>
      </c>
      <c r="C22" s="118">
        <v>2.16</v>
      </c>
      <c r="D22" s="125">
        <f>C22*B8*12</f>
        <v>59820.768000000004</v>
      </c>
    </row>
    <row r="23" spans="1:4" ht="12.75" customHeight="1">
      <c r="A23" s="6" t="s">
        <v>13</v>
      </c>
      <c r="B23" s="55" t="s">
        <v>76</v>
      </c>
      <c r="C23" s="118"/>
      <c r="D23" s="126"/>
    </row>
    <row r="24" spans="1:4" ht="14.25" customHeight="1">
      <c r="A24" s="6" t="s">
        <v>14</v>
      </c>
      <c r="B24" s="55" t="s">
        <v>76</v>
      </c>
      <c r="C24" s="118"/>
      <c r="D24" s="126"/>
    </row>
    <row r="25" spans="1:4" ht="13.5" customHeight="1">
      <c r="A25" s="6" t="s">
        <v>15</v>
      </c>
      <c r="B25" s="55" t="s">
        <v>77</v>
      </c>
      <c r="C25" s="118"/>
      <c r="D25" s="126"/>
    </row>
    <row r="26" spans="1:4" ht="12.75" customHeight="1">
      <c r="A26" s="41" t="s">
        <v>94</v>
      </c>
      <c r="B26" s="55"/>
      <c r="C26" s="118"/>
      <c r="D26" s="126"/>
    </row>
    <row r="27" spans="1:4" ht="30" customHeight="1">
      <c r="A27" s="6" t="s">
        <v>16</v>
      </c>
      <c r="B27" s="55" t="s">
        <v>95</v>
      </c>
      <c r="C27" s="118"/>
      <c r="D27" s="127"/>
    </row>
    <row r="28" spans="1:4" ht="12.75" customHeight="1">
      <c r="A28" s="121" t="s">
        <v>17</v>
      </c>
      <c r="B28" s="122"/>
      <c r="C28" s="122"/>
      <c r="D28" s="123"/>
    </row>
    <row r="29" spans="1:4" ht="12" customHeight="1">
      <c r="A29" s="7" t="s">
        <v>18</v>
      </c>
      <c r="B29" s="21" t="s">
        <v>79</v>
      </c>
      <c r="C29" s="118">
        <v>0.2</v>
      </c>
      <c r="D29" s="128">
        <f>C29*B8*12</f>
        <v>5538.9600000000009</v>
      </c>
    </row>
    <row r="30" spans="1:4" ht="12" customHeight="1">
      <c r="A30" s="7" t="s">
        <v>19</v>
      </c>
      <c r="B30" s="21" t="s">
        <v>78</v>
      </c>
      <c r="C30" s="118"/>
      <c r="D30" s="128"/>
    </row>
    <row r="31" spans="1:4" ht="13.5" customHeight="1">
      <c r="A31" s="121" t="s">
        <v>20</v>
      </c>
      <c r="B31" s="122"/>
      <c r="C31" s="122"/>
      <c r="D31" s="123"/>
    </row>
    <row r="32" spans="1:4">
      <c r="A32" s="128" t="s">
        <v>21</v>
      </c>
      <c r="B32" s="128"/>
      <c r="C32" s="128"/>
      <c r="D32" s="128"/>
    </row>
    <row r="33" spans="1:4" ht="37.5" customHeight="1">
      <c r="A33" s="8" t="s">
        <v>22</v>
      </c>
      <c r="B33" s="22" t="s">
        <v>80</v>
      </c>
      <c r="C33" s="118">
        <v>0.61</v>
      </c>
      <c r="D33" s="117">
        <f>C33*B8*12</f>
        <v>16893.828000000001</v>
      </c>
    </row>
    <row r="34" spans="1:4" ht="15" customHeight="1">
      <c r="A34" s="9" t="s">
        <v>24</v>
      </c>
      <c r="B34" s="23" t="s">
        <v>81</v>
      </c>
      <c r="C34" s="118"/>
      <c r="D34" s="126"/>
    </row>
    <row r="35" spans="1:4" ht="13.5" customHeight="1">
      <c r="A35" s="9" t="s">
        <v>26</v>
      </c>
      <c r="B35" s="23" t="s">
        <v>81</v>
      </c>
      <c r="C35" s="118"/>
      <c r="D35" s="126"/>
    </row>
    <row r="36" spans="1:4" ht="36" customHeight="1">
      <c r="A36" s="9" t="s">
        <v>27</v>
      </c>
      <c r="B36" s="22" t="s">
        <v>23</v>
      </c>
      <c r="C36" s="118"/>
      <c r="D36" s="126"/>
    </row>
    <row r="37" spans="1:4" ht="14.25" customHeight="1">
      <c r="A37" s="9" t="s">
        <v>28</v>
      </c>
      <c r="B37" s="22" t="s">
        <v>81</v>
      </c>
      <c r="C37" s="118"/>
      <c r="D37" s="126"/>
    </row>
    <row r="38" spans="1:4" ht="33.75" customHeight="1">
      <c r="A38" s="24" t="s">
        <v>29</v>
      </c>
      <c r="B38" s="22" t="s">
        <v>23</v>
      </c>
      <c r="C38" s="129"/>
      <c r="D38" s="127"/>
    </row>
    <row r="39" spans="1:4" ht="15.75" customHeight="1">
      <c r="A39" s="128" t="s">
        <v>66</v>
      </c>
      <c r="B39" s="128"/>
      <c r="C39" s="128"/>
      <c r="D39" s="128"/>
    </row>
    <row r="40" spans="1:4" ht="36.75" customHeight="1">
      <c r="A40" s="9" t="s">
        <v>67</v>
      </c>
      <c r="B40" s="22" t="s">
        <v>80</v>
      </c>
      <c r="C40" s="117">
        <v>1</v>
      </c>
      <c r="D40" s="118">
        <f>C40*B8*12</f>
        <v>27694.800000000003</v>
      </c>
    </row>
    <row r="41" spans="1:4" ht="14.25" customHeight="1">
      <c r="A41" s="9" t="s">
        <v>68</v>
      </c>
      <c r="B41" s="22" t="s">
        <v>81</v>
      </c>
      <c r="C41" s="117"/>
      <c r="D41" s="119"/>
    </row>
    <row r="42" spans="1:4" ht="14.25" customHeight="1">
      <c r="A42" s="9" t="s">
        <v>69</v>
      </c>
      <c r="B42" s="22" t="s">
        <v>81</v>
      </c>
      <c r="C42" s="117"/>
      <c r="D42" s="119"/>
    </row>
    <row r="43" spans="1:4" ht="24" customHeight="1">
      <c r="A43" s="9" t="s">
        <v>70</v>
      </c>
      <c r="B43" s="22" t="s">
        <v>80</v>
      </c>
      <c r="C43" s="117"/>
      <c r="D43" s="119"/>
    </row>
    <row r="44" spans="1:4" ht="25.5" customHeight="1">
      <c r="A44" s="10" t="s">
        <v>71</v>
      </c>
      <c r="B44" s="22" t="s">
        <v>80</v>
      </c>
      <c r="C44" s="117"/>
      <c r="D44" s="119"/>
    </row>
    <row r="45" spans="1:4" ht="14.25" customHeight="1">
      <c r="A45" s="9" t="s">
        <v>72</v>
      </c>
      <c r="B45" s="22" t="s">
        <v>141</v>
      </c>
      <c r="C45" s="117"/>
      <c r="D45" s="120"/>
    </row>
    <row r="46" spans="1:4" ht="11.25" customHeight="1">
      <c r="A46" s="130" t="s">
        <v>30</v>
      </c>
      <c r="B46" s="130"/>
      <c r="C46" s="130"/>
      <c r="D46" s="130"/>
    </row>
    <row r="47" spans="1:4" ht="35.25" customHeight="1">
      <c r="A47" s="9" t="s">
        <v>31</v>
      </c>
      <c r="B47" s="22" t="s">
        <v>23</v>
      </c>
      <c r="C47" s="117">
        <v>0.69</v>
      </c>
      <c r="D47" s="118">
        <f>C47*B8*12</f>
        <v>19109.412</v>
      </c>
    </row>
    <row r="48" spans="1:4" ht="38.25" customHeight="1">
      <c r="A48" s="9" t="s">
        <v>32</v>
      </c>
      <c r="B48" s="22" t="s">
        <v>23</v>
      </c>
      <c r="C48" s="117"/>
      <c r="D48" s="118"/>
    </row>
    <row r="49" spans="1:4" ht="15" customHeight="1">
      <c r="A49" s="10" t="s">
        <v>33</v>
      </c>
      <c r="B49" s="22" t="s">
        <v>23</v>
      </c>
      <c r="C49" s="117"/>
      <c r="D49" s="118"/>
    </row>
    <row r="50" spans="1:4" ht="12.75" customHeight="1">
      <c r="A50" s="128" t="s">
        <v>34</v>
      </c>
      <c r="B50" s="128"/>
      <c r="C50" s="128"/>
      <c r="D50" s="128"/>
    </row>
    <row r="51" spans="1:4" ht="29.25" customHeight="1">
      <c r="A51" s="9" t="s">
        <v>35</v>
      </c>
      <c r="B51" s="22" t="s">
        <v>78</v>
      </c>
      <c r="C51" s="117">
        <v>2.81</v>
      </c>
      <c r="D51" s="117">
        <f>C51*B8*12-1258.5</f>
        <v>76563.888000000006</v>
      </c>
    </row>
    <row r="52" spans="1:4" ht="14.25" customHeight="1">
      <c r="A52" s="9" t="s">
        <v>36</v>
      </c>
      <c r="B52" s="22" t="s">
        <v>85</v>
      </c>
      <c r="C52" s="117"/>
      <c r="D52" s="117"/>
    </row>
    <row r="53" spans="1:4" ht="17.25" customHeight="1">
      <c r="A53" s="9" t="s">
        <v>37</v>
      </c>
      <c r="B53" s="22" t="s">
        <v>85</v>
      </c>
      <c r="C53" s="117"/>
      <c r="D53" s="117"/>
    </row>
    <row r="54" spans="1:4" ht="24.75" customHeight="1">
      <c r="A54" s="9" t="s">
        <v>38</v>
      </c>
      <c r="B54" s="22" t="s">
        <v>83</v>
      </c>
      <c r="C54" s="117"/>
      <c r="D54" s="117"/>
    </row>
    <row r="55" spans="1:4" ht="30" customHeight="1">
      <c r="A55" s="9" t="s">
        <v>39</v>
      </c>
      <c r="B55" s="22" t="s">
        <v>83</v>
      </c>
      <c r="C55" s="117"/>
      <c r="D55" s="117"/>
    </row>
    <row r="56" spans="1:4" ht="12.75" customHeight="1">
      <c r="A56" s="54" t="s">
        <v>96</v>
      </c>
      <c r="B56" s="6"/>
      <c r="C56" s="117"/>
      <c r="D56" s="117"/>
    </row>
    <row r="57" spans="1:4" ht="35.25" customHeight="1">
      <c r="A57" s="9" t="s">
        <v>41</v>
      </c>
      <c r="B57" s="22" t="s">
        <v>80</v>
      </c>
      <c r="C57" s="117"/>
      <c r="D57" s="117"/>
    </row>
    <row r="58" spans="1:4" ht="14.25" customHeight="1">
      <c r="A58" s="9" t="s">
        <v>42</v>
      </c>
      <c r="B58" s="22" t="s">
        <v>25</v>
      </c>
      <c r="C58" s="117"/>
      <c r="D58" s="117"/>
    </row>
    <row r="59" spans="1:4" ht="14.25" customHeight="1">
      <c r="A59" s="9" t="s">
        <v>43</v>
      </c>
      <c r="B59" s="23" t="s">
        <v>25</v>
      </c>
      <c r="C59" s="117"/>
      <c r="D59" s="117"/>
    </row>
    <row r="60" spans="1:4" ht="13.5" customHeight="1">
      <c r="A60" s="9" t="s">
        <v>44</v>
      </c>
      <c r="B60" s="23" t="s">
        <v>25</v>
      </c>
      <c r="C60" s="117"/>
      <c r="D60" s="117"/>
    </row>
    <row r="61" spans="1:4" ht="13.5" customHeight="1">
      <c r="A61" s="9" t="s">
        <v>45</v>
      </c>
      <c r="B61" s="21" t="s">
        <v>142</v>
      </c>
      <c r="C61" s="117"/>
      <c r="D61" s="117"/>
    </row>
    <row r="62" spans="1:4" ht="36.75" customHeight="1">
      <c r="A62" s="10" t="s">
        <v>46</v>
      </c>
      <c r="B62" s="22" t="s">
        <v>23</v>
      </c>
      <c r="C62" s="117"/>
      <c r="D62" s="117"/>
    </row>
    <row r="63" spans="1:4">
      <c r="A63" s="128" t="s">
        <v>47</v>
      </c>
      <c r="B63" s="128"/>
      <c r="C63" s="128"/>
      <c r="D63" s="128"/>
    </row>
    <row r="64" spans="1:4" ht="15.75" customHeight="1">
      <c r="A64" s="9" t="s">
        <v>48</v>
      </c>
      <c r="B64" s="22" t="s">
        <v>84</v>
      </c>
      <c r="C64" s="118">
        <v>0.74</v>
      </c>
      <c r="D64" s="117">
        <f>C64*B8*12</f>
        <v>20494.152000000002</v>
      </c>
    </row>
    <row r="65" spans="1:4" ht="12.75" customHeight="1">
      <c r="A65" s="9" t="s">
        <v>49</v>
      </c>
      <c r="B65" s="22" t="s">
        <v>84</v>
      </c>
      <c r="C65" s="118"/>
      <c r="D65" s="117"/>
    </row>
    <row r="66" spans="1:4" ht="15.75" customHeight="1">
      <c r="A66" s="9" t="s">
        <v>50</v>
      </c>
      <c r="B66" s="22" t="s">
        <v>85</v>
      </c>
      <c r="C66" s="118"/>
      <c r="D66" s="117"/>
    </row>
    <row r="67" spans="1:4" ht="16.5" customHeight="1">
      <c r="A67" s="9" t="s">
        <v>51</v>
      </c>
      <c r="B67" s="22" t="s">
        <v>84</v>
      </c>
      <c r="C67" s="118"/>
      <c r="D67" s="117"/>
    </row>
    <row r="68" spans="1:4" ht="39.75" customHeight="1">
      <c r="A68" s="10" t="s">
        <v>52</v>
      </c>
      <c r="B68" s="22" t="s">
        <v>23</v>
      </c>
      <c r="C68" s="118"/>
      <c r="D68" s="117"/>
    </row>
    <row r="69" spans="1:4" ht="16.5" customHeight="1">
      <c r="A69" s="10" t="s">
        <v>53</v>
      </c>
      <c r="B69" s="23" t="s">
        <v>85</v>
      </c>
      <c r="C69" s="118"/>
      <c r="D69" s="117"/>
    </row>
    <row r="70" spans="1:4">
      <c r="A70" s="121" t="s">
        <v>86</v>
      </c>
      <c r="B70" s="122"/>
      <c r="C70" s="122"/>
      <c r="D70" s="123"/>
    </row>
    <row r="71" spans="1:4" ht="26.25" customHeight="1">
      <c r="A71" s="139" t="s">
        <v>97</v>
      </c>
      <c r="B71" s="141" t="s">
        <v>87</v>
      </c>
      <c r="C71" s="118">
        <v>2.41</v>
      </c>
      <c r="D71" s="117">
        <f>C71*B8*12</f>
        <v>66744.468000000008</v>
      </c>
    </row>
    <row r="72" spans="1:4" ht="13.5" customHeight="1">
      <c r="A72" s="140"/>
      <c r="B72" s="141"/>
      <c r="C72" s="118"/>
      <c r="D72" s="117"/>
    </row>
    <row r="73" spans="1:4" ht="15" customHeight="1">
      <c r="A73" s="121" t="s">
        <v>56</v>
      </c>
      <c r="B73" s="122"/>
      <c r="C73" s="122"/>
      <c r="D73" s="123"/>
    </row>
    <row r="74" spans="1:4" ht="16.5" customHeight="1">
      <c r="A74" s="6" t="s">
        <v>91</v>
      </c>
      <c r="B74" s="21" t="s">
        <v>88</v>
      </c>
      <c r="C74" s="131">
        <v>2.14</v>
      </c>
      <c r="D74" s="133">
        <v>59088.91</v>
      </c>
    </row>
    <row r="75" spans="1:4">
      <c r="A75" s="6" t="s">
        <v>92</v>
      </c>
      <c r="B75" s="21" t="s">
        <v>88</v>
      </c>
      <c r="C75" s="132"/>
      <c r="D75" s="134"/>
    </row>
    <row r="76" spans="1:4" ht="15" customHeight="1">
      <c r="A76" s="6" t="s">
        <v>93</v>
      </c>
      <c r="B76" s="21" t="s">
        <v>88</v>
      </c>
      <c r="C76" s="130"/>
      <c r="D76" s="135"/>
    </row>
    <row r="77" spans="1:4" ht="38.25" customHeight="1">
      <c r="A77" s="6" t="s">
        <v>165</v>
      </c>
      <c r="B77" s="22" t="s">
        <v>23</v>
      </c>
      <c r="C77" s="53">
        <v>4.3499999999999996</v>
      </c>
      <c r="D77" s="53">
        <v>114215.56</v>
      </c>
    </row>
    <row r="78" spans="1:4">
      <c r="A78" s="54" t="s">
        <v>57</v>
      </c>
      <c r="B78" s="23"/>
      <c r="C78" s="28">
        <f>C77+C74+C71+C64+C51+C47+C40+C33+C29+C22+C19+C18+C17+C16+C14+C13</f>
        <v>21.619999999999997</v>
      </c>
      <c r="D78" s="28">
        <f>D77+D74+D71+D64+D51+D47+D40+D33+D29+D22+D19+D18+D17+D16+D14+D13</f>
        <v>591068.29399999999</v>
      </c>
    </row>
    <row r="81" spans="4:4">
      <c r="D81" s="42"/>
    </row>
    <row r="82" spans="4:4">
      <c r="D82" s="42"/>
    </row>
  </sheetData>
  <mergeCells count="31">
    <mergeCell ref="C40:C45"/>
    <mergeCell ref="D40:D45"/>
    <mergeCell ref="A12:D12"/>
    <mergeCell ref="A20:D20"/>
    <mergeCell ref="C22:C27"/>
    <mergeCell ref="D22:D27"/>
    <mergeCell ref="A28:D28"/>
    <mergeCell ref="C29:C30"/>
    <mergeCell ref="D29:D30"/>
    <mergeCell ref="A31:D31"/>
    <mergeCell ref="A32:D32"/>
    <mergeCell ref="C33:C38"/>
    <mergeCell ref="D33:D38"/>
    <mergeCell ref="A39:D39"/>
    <mergeCell ref="A46:D46"/>
    <mergeCell ref="C47:C49"/>
    <mergeCell ref="D47:D49"/>
    <mergeCell ref="A50:D50"/>
    <mergeCell ref="C51:C62"/>
    <mergeCell ref="D51:D62"/>
    <mergeCell ref="A73:D73"/>
    <mergeCell ref="C74:C76"/>
    <mergeCell ref="D74:D76"/>
    <mergeCell ref="A63:D63"/>
    <mergeCell ref="C64:C69"/>
    <mergeCell ref="D64:D69"/>
    <mergeCell ref="A70:D70"/>
    <mergeCell ref="A71:A72"/>
    <mergeCell ref="B71:B72"/>
    <mergeCell ref="C71:C72"/>
    <mergeCell ref="D71:D7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83"/>
  <sheetViews>
    <sheetView topLeftCell="A52" workbookViewId="0">
      <selection activeCell="C73" sqref="C73:C74"/>
    </sheetView>
  </sheetViews>
  <sheetFormatPr defaultRowHeight="15"/>
  <cols>
    <col min="1" max="1" width="87.42578125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64</v>
      </c>
      <c r="E1" s="2"/>
      <c r="F1" s="2"/>
      <c r="G1" s="2"/>
    </row>
    <row r="2" spans="1:7">
      <c r="A2" s="1" t="s">
        <v>133</v>
      </c>
      <c r="B2" s="2"/>
      <c r="C2" s="2"/>
      <c r="D2" s="2"/>
      <c r="E2" s="2"/>
      <c r="F2" s="2"/>
      <c r="G2" s="2"/>
    </row>
    <row r="3" spans="1:7">
      <c r="A3" s="1" t="s">
        <v>110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59</v>
      </c>
      <c r="B5" s="2">
        <v>1962</v>
      </c>
      <c r="C5" s="2"/>
      <c r="D5" s="2"/>
      <c r="E5" s="2"/>
      <c r="F5" s="2"/>
      <c r="G5" s="2"/>
    </row>
    <row r="6" spans="1:7">
      <c r="A6" s="25" t="s">
        <v>60</v>
      </c>
      <c r="B6" s="2">
        <v>4</v>
      </c>
      <c r="C6" s="2"/>
      <c r="D6" s="2"/>
      <c r="E6" s="2"/>
      <c r="F6" s="2"/>
      <c r="G6" s="2"/>
    </row>
    <row r="7" spans="1:7">
      <c r="A7" s="25" t="s">
        <v>61</v>
      </c>
      <c r="B7" s="2">
        <v>2</v>
      </c>
      <c r="C7" s="2"/>
      <c r="D7" s="2"/>
      <c r="E7" s="2"/>
      <c r="F7" s="2"/>
      <c r="G7" s="2"/>
    </row>
    <row r="8" spans="1:7">
      <c r="A8" s="25" t="s">
        <v>62</v>
      </c>
      <c r="B8" s="2">
        <v>32</v>
      </c>
      <c r="C8" s="2"/>
      <c r="D8" s="2"/>
      <c r="E8" s="2"/>
      <c r="F8" s="2"/>
      <c r="G8" s="2"/>
    </row>
    <row r="9" spans="1:7">
      <c r="A9" s="25" t="s">
        <v>73</v>
      </c>
      <c r="B9" s="2">
        <v>1246.5</v>
      </c>
      <c r="C9" s="2"/>
      <c r="D9" s="2"/>
      <c r="E9" s="2"/>
      <c r="F9" s="2"/>
      <c r="G9" s="2"/>
    </row>
    <row r="10" spans="1:7">
      <c r="A10" s="25" t="s">
        <v>63</v>
      </c>
      <c r="B10" s="2">
        <v>94.7</v>
      </c>
      <c r="C10" s="2"/>
      <c r="D10" s="2"/>
      <c r="E10" s="2"/>
      <c r="F10" s="2"/>
      <c r="G10" s="2"/>
    </row>
    <row r="11" spans="1:7">
      <c r="A11" s="25" t="s">
        <v>74</v>
      </c>
      <c r="B11" s="48" t="s">
        <v>101</v>
      </c>
      <c r="C11" s="2"/>
      <c r="D11" s="2"/>
      <c r="E11" s="2"/>
      <c r="F11" s="2"/>
      <c r="G11" s="2"/>
    </row>
    <row r="12" spans="1:7" ht="45.75" customHeight="1">
      <c r="A12" s="55" t="s">
        <v>1</v>
      </c>
      <c r="B12" s="55" t="s">
        <v>2</v>
      </c>
      <c r="C12" s="55" t="s">
        <v>3</v>
      </c>
      <c r="D12" s="55" t="s">
        <v>4</v>
      </c>
      <c r="E12" s="142"/>
      <c r="F12" s="142"/>
      <c r="G12" s="142"/>
    </row>
    <row r="13" spans="1:7">
      <c r="A13" s="153" t="s">
        <v>5</v>
      </c>
      <c r="B13" s="154"/>
      <c r="C13" s="154"/>
      <c r="D13" s="155"/>
      <c r="E13" s="142"/>
      <c r="F13" s="142"/>
      <c r="G13" s="142"/>
    </row>
    <row r="14" spans="1:7" ht="87" customHeight="1">
      <c r="A14" s="6" t="s">
        <v>6</v>
      </c>
      <c r="B14" s="55" t="s">
        <v>7</v>
      </c>
      <c r="C14" s="52">
        <v>0.13</v>
      </c>
      <c r="D14" s="55">
        <f>C14*B9*11</f>
        <v>1782.4950000000001</v>
      </c>
      <c r="E14" s="142"/>
      <c r="F14" s="142"/>
      <c r="G14" s="142"/>
    </row>
    <row r="15" spans="1:7" ht="73.5" customHeight="1">
      <c r="A15" s="6" t="s">
        <v>8</v>
      </c>
      <c r="B15" s="55" t="s">
        <v>9</v>
      </c>
      <c r="C15" s="26">
        <v>2.0499999999999998</v>
      </c>
      <c r="D15" s="26">
        <f>C15*11*B9</f>
        <v>28108.574999999997</v>
      </c>
      <c r="E15" s="142"/>
      <c r="F15" s="143"/>
      <c r="G15" s="143"/>
    </row>
    <row r="16" spans="1:7">
      <c r="A16" s="6" t="s">
        <v>10</v>
      </c>
      <c r="B16" s="55"/>
      <c r="C16" s="26"/>
      <c r="D16" s="26"/>
      <c r="E16" s="142"/>
      <c r="F16" s="143"/>
      <c r="G16" s="143"/>
    </row>
    <row r="17" spans="1:7">
      <c r="A17" s="6" t="s">
        <v>129</v>
      </c>
      <c r="B17" s="55" t="s">
        <v>126</v>
      </c>
      <c r="C17" s="46">
        <v>2.1800000000000002</v>
      </c>
      <c r="D17" s="30">
        <f>C17*11*B9</f>
        <v>29891.07</v>
      </c>
    </row>
    <row r="18" spans="1:7">
      <c r="A18" s="6" t="s">
        <v>130</v>
      </c>
      <c r="B18" s="55" t="s">
        <v>134</v>
      </c>
      <c r="C18" s="46">
        <v>0.09</v>
      </c>
      <c r="D18" s="30">
        <f>C18*11*B5</f>
        <v>1942.3799999999999</v>
      </c>
    </row>
    <row r="19" spans="1:7">
      <c r="A19" s="6" t="s">
        <v>131</v>
      </c>
      <c r="B19" s="55" t="s">
        <v>89</v>
      </c>
      <c r="C19" s="26">
        <v>0.21</v>
      </c>
      <c r="D19" s="30">
        <f>C19*11*B9</f>
        <v>2879.415</v>
      </c>
    </row>
    <row r="20" spans="1:7">
      <c r="A20" s="6" t="s">
        <v>132</v>
      </c>
      <c r="B20" s="55" t="s">
        <v>85</v>
      </c>
      <c r="C20" s="26">
        <v>0.52</v>
      </c>
      <c r="D20" s="30">
        <f>C20*11*B9</f>
        <v>7129.9800000000005</v>
      </c>
    </row>
    <row r="21" spans="1:7" ht="12" customHeight="1">
      <c r="A21" s="149" t="s">
        <v>11</v>
      </c>
      <c r="B21" s="150"/>
      <c r="C21" s="150"/>
      <c r="D21" s="151"/>
      <c r="E21" s="152"/>
      <c r="F21" s="142"/>
      <c r="G21" s="142"/>
    </row>
    <row r="22" spans="1:7" ht="11.25" customHeight="1">
      <c r="A22" s="6" t="s">
        <v>12</v>
      </c>
      <c r="B22" s="55" t="s">
        <v>76</v>
      </c>
      <c r="C22" s="129">
        <v>2.16</v>
      </c>
      <c r="D22" s="129">
        <f>C22*11*B9</f>
        <v>29616.84</v>
      </c>
      <c r="E22" s="152"/>
      <c r="F22" s="142"/>
      <c r="G22" s="142"/>
    </row>
    <row r="23" spans="1:7" ht="13.5" customHeight="1">
      <c r="A23" s="6" t="s">
        <v>13</v>
      </c>
      <c r="B23" s="55" t="s">
        <v>76</v>
      </c>
      <c r="C23" s="119"/>
      <c r="D23" s="119"/>
      <c r="E23" s="152"/>
      <c r="F23" s="142"/>
      <c r="G23" s="142"/>
    </row>
    <row r="24" spans="1:7" ht="12.75" customHeight="1">
      <c r="A24" s="6" t="s">
        <v>14</v>
      </c>
      <c r="B24" s="55" t="s">
        <v>76</v>
      </c>
      <c r="C24" s="119"/>
      <c r="D24" s="119"/>
      <c r="E24" s="152"/>
      <c r="F24" s="142"/>
      <c r="G24" s="142"/>
    </row>
    <row r="25" spans="1:7" ht="12" customHeight="1">
      <c r="A25" s="6" t="s">
        <v>15</v>
      </c>
      <c r="B25" s="55" t="s">
        <v>77</v>
      </c>
      <c r="C25" s="119"/>
      <c r="D25" s="119"/>
      <c r="E25" s="152"/>
      <c r="F25" s="142"/>
      <c r="G25" s="142"/>
    </row>
    <row r="26" spans="1:7" ht="24" customHeight="1">
      <c r="A26" s="6" t="s">
        <v>16</v>
      </c>
      <c r="B26" s="55" t="s">
        <v>95</v>
      </c>
      <c r="C26" s="120"/>
      <c r="D26" s="120"/>
      <c r="E26" s="152"/>
      <c r="F26" s="142"/>
      <c r="G26" s="142"/>
    </row>
    <row r="27" spans="1:7" ht="12" customHeight="1">
      <c r="A27" s="149" t="s">
        <v>17</v>
      </c>
      <c r="B27" s="150"/>
      <c r="C27" s="150"/>
      <c r="D27" s="151"/>
      <c r="E27" s="152"/>
      <c r="F27" s="142"/>
      <c r="G27" s="142"/>
    </row>
    <row r="28" spans="1:7" ht="12" customHeight="1">
      <c r="A28" s="7" t="s">
        <v>18</v>
      </c>
      <c r="B28" s="21" t="s">
        <v>79</v>
      </c>
      <c r="C28" s="118">
        <v>0.2</v>
      </c>
      <c r="D28" s="128">
        <f>C28*11*B9</f>
        <v>2742.3</v>
      </c>
      <c r="E28" s="15"/>
    </row>
    <row r="29" spans="1:7" ht="12" customHeight="1">
      <c r="A29" s="7" t="s">
        <v>19</v>
      </c>
      <c r="B29" s="21" t="s">
        <v>78</v>
      </c>
      <c r="C29" s="118"/>
      <c r="D29" s="128"/>
      <c r="E29" s="50"/>
    </row>
    <row r="30" spans="1:7" ht="12" customHeight="1">
      <c r="A30" s="124" t="s">
        <v>20</v>
      </c>
      <c r="B30" s="124"/>
      <c r="C30" s="124"/>
      <c r="D30" s="124"/>
      <c r="E30" s="142"/>
      <c r="F30" s="143"/>
      <c r="G30" s="143"/>
    </row>
    <row r="31" spans="1:7" ht="12" customHeight="1">
      <c r="A31" s="128" t="s">
        <v>21</v>
      </c>
      <c r="B31" s="128"/>
      <c r="C31" s="128"/>
      <c r="D31" s="128"/>
      <c r="E31" s="142"/>
      <c r="F31" s="143"/>
      <c r="G31" s="143"/>
    </row>
    <row r="32" spans="1:7" ht="41.25" customHeight="1">
      <c r="A32" s="8" t="s">
        <v>22</v>
      </c>
      <c r="B32" s="22" t="s">
        <v>80</v>
      </c>
      <c r="C32" s="118">
        <v>0.54</v>
      </c>
      <c r="D32" s="118">
        <f>C32*11*B9</f>
        <v>7404.21</v>
      </c>
      <c r="E32" s="142"/>
      <c r="F32" s="143"/>
      <c r="G32" s="143"/>
    </row>
    <row r="33" spans="1:7" ht="14.25" customHeight="1">
      <c r="A33" s="9" t="s">
        <v>24</v>
      </c>
      <c r="B33" s="23" t="s">
        <v>81</v>
      </c>
      <c r="C33" s="118"/>
      <c r="D33" s="118"/>
      <c r="E33" s="142"/>
      <c r="F33" s="143"/>
      <c r="G33" s="143"/>
    </row>
    <row r="34" spans="1:7" ht="12" customHeight="1">
      <c r="A34" s="9" t="s">
        <v>26</v>
      </c>
      <c r="B34" s="23" t="s">
        <v>81</v>
      </c>
      <c r="C34" s="118"/>
      <c r="D34" s="118"/>
      <c r="E34" s="142"/>
      <c r="F34" s="143"/>
      <c r="G34" s="143"/>
    </row>
    <row r="35" spans="1:7" ht="42.75" customHeight="1">
      <c r="A35" s="9" t="s">
        <v>27</v>
      </c>
      <c r="B35" s="22" t="s">
        <v>80</v>
      </c>
      <c r="C35" s="118"/>
      <c r="D35" s="118"/>
      <c r="E35" s="142"/>
      <c r="F35" s="143"/>
      <c r="G35" s="143"/>
    </row>
    <row r="36" spans="1:7" ht="12" customHeight="1">
      <c r="A36" s="9" t="s">
        <v>28</v>
      </c>
      <c r="B36" s="22" t="s">
        <v>25</v>
      </c>
      <c r="C36" s="118"/>
      <c r="D36" s="118"/>
      <c r="E36" s="142"/>
      <c r="F36" s="143"/>
      <c r="G36" s="143"/>
    </row>
    <row r="37" spans="1:7" ht="42" customHeight="1">
      <c r="A37" s="10" t="s">
        <v>29</v>
      </c>
      <c r="B37" s="22" t="s">
        <v>80</v>
      </c>
      <c r="C37" s="118"/>
      <c r="D37" s="118"/>
      <c r="E37" s="142"/>
      <c r="F37" s="143"/>
      <c r="G37" s="143"/>
    </row>
    <row r="38" spans="1:7" ht="12" customHeight="1">
      <c r="A38" s="128" t="s">
        <v>30</v>
      </c>
      <c r="B38" s="128"/>
      <c r="C38" s="128"/>
      <c r="D38" s="128"/>
      <c r="E38" s="142"/>
      <c r="F38" s="143"/>
      <c r="G38" s="143"/>
    </row>
    <row r="39" spans="1:7" ht="39" customHeight="1">
      <c r="A39" s="9" t="s">
        <v>31</v>
      </c>
      <c r="B39" s="22" t="s">
        <v>80</v>
      </c>
      <c r="C39" s="118">
        <v>0.62</v>
      </c>
      <c r="D39" s="118">
        <f>C39*11*B9</f>
        <v>8501.130000000001</v>
      </c>
      <c r="E39" s="142"/>
      <c r="F39" s="143"/>
      <c r="G39" s="143"/>
    </row>
    <row r="40" spans="1:7" ht="34.5" customHeight="1">
      <c r="A40" s="9" t="s">
        <v>32</v>
      </c>
      <c r="B40" s="22" t="s">
        <v>80</v>
      </c>
      <c r="C40" s="118"/>
      <c r="D40" s="118"/>
      <c r="E40" s="142"/>
      <c r="F40" s="143"/>
      <c r="G40" s="143"/>
    </row>
    <row r="41" spans="1:7" ht="38.25" customHeight="1">
      <c r="A41" s="10" t="s">
        <v>33</v>
      </c>
      <c r="B41" s="22" t="s">
        <v>80</v>
      </c>
      <c r="C41" s="118"/>
      <c r="D41" s="118"/>
      <c r="E41" s="142"/>
      <c r="F41" s="143"/>
      <c r="G41" s="143"/>
    </row>
    <row r="42" spans="1:7" ht="12" customHeight="1">
      <c r="A42" s="128" t="s">
        <v>34</v>
      </c>
      <c r="B42" s="128"/>
      <c r="C42" s="128"/>
      <c r="D42" s="128"/>
      <c r="E42" s="142"/>
      <c r="F42" s="143"/>
      <c r="G42" s="143"/>
    </row>
    <row r="43" spans="1:7" ht="26.25" customHeight="1">
      <c r="A43" s="9" t="s">
        <v>35</v>
      </c>
      <c r="B43" s="22" t="s">
        <v>113</v>
      </c>
      <c r="C43" s="118">
        <v>1.35</v>
      </c>
      <c r="D43" s="118">
        <f>C43*11*B9-760.35</f>
        <v>17750.175000000003</v>
      </c>
      <c r="E43" s="142"/>
      <c r="F43" s="143"/>
      <c r="G43" s="143"/>
    </row>
    <row r="44" spans="1:7" ht="15" customHeight="1">
      <c r="A44" s="9" t="s">
        <v>36</v>
      </c>
      <c r="B44" s="22" t="s">
        <v>114</v>
      </c>
      <c r="C44" s="118"/>
      <c r="D44" s="118"/>
      <c r="E44" s="142"/>
      <c r="F44" s="143"/>
      <c r="G44" s="143"/>
    </row>
    <row r="45" spans="1:7" ht="14.25" customHeight="1">
      <c r="A45" s="9" t="s">
        <v>37</v>
      </c>
      <c r="B45" s="22" t="s">
        <v>85</v>
      </c>
      <c r="C45" s="118"/>
      <c r="D45" s="118"/>
      <c r="E45" s="142"/>
      <c r="F45" s="143"/>
      <c r="G45" s="143"/>
    </row>
    <row r="46" spans="1:7" ht="33" customHeight="1">
      <c r="A46" s="9" t="s">
        <v>38</v>
      </c>
      <c r="B46" s="22" t="s">
        <v>83</v>
      </c>
      <c r="C46" s="118"/>
      <c r="D46" s="118"/>
      <c r="E46" s="142"/>
      <c r="F46" s="143"/>
      <c r="G46" s="143"/>
    </row>
    <row r="47" spans="1:7" ht="27" customHeight="1">
      <c r="A47" s="9" t="s">
        <v>39</v>
      </c>
      <c r="B47" s="22" t="s">
        <v>83</v>
      </c>
      <c r="C47" s="118"/>
      <c r="D47" s="118"/>
      <c r="E47" s="142"/>
      <c r="F47" s="143"/>
      <c r="G47" s="143"/>
    </row>
    <row r="48" spans="1:7" ht="13.5" customHeight="1">
      <c r="A48" s="54" t="s">
        <v>40</v>
      </c>
      <c r="B48" s="6"/>
      <c r="C48" s="118"/>
      <c r="D48" s="118"/>
      <c r="E48" s="142"/>
      <c r="F48" s="143"/>
      <c r="G48" s="143"/>
    </row>
    <row r="49" spans="1:7" ht="42" customHeight="1">
      <c r="A49" s="9" t="s">
        <v>41</v>
      </c>
      <c r="B49" s="22" t="s">
        <v>80</v>
      </c>
      <c r="C49" s="118"/>
      <c r="D49" s="118"/>
      <c r="E49" s="4"/>
      <c r="F49" s="4"/>
      <c r="G49" s="4"/>
    </row>
    <row r="50" spans="1:7" ht="14.25" customHeight="1">
      <c r="A50" s="9" t="s">
        <v>42</v>
      </c>
      <c r="B50" s="22" t="s">
        <v>25</v>
      </c>
      <c r="C50" s="118"/>
      <c r="D50" s="118"/>
      <c r="E50" s="4"/>
      <c r="F50" s="4"/>
      <c r="G50" s="4"/>
    </row>
    <row r="51" spans="1:7" ht="15" customHeight="1">
      <c r="A51" s="9" t="s">
        <v>43</v>
      </c>
      <c r="B51" s="23" t="s">
        <v>25</v>
      </c>
      <c r="C51" s="118"/>
      <c r="D51" s="118"/>
      <c r="E51" s="4"/>
      <c r="F51" s="4"/>
      <c r="G51" s="4"/>
    </row>
    <row r="52" spans="1:7" ht="15.75" customHeight="1">
      <c r="A52" s="9" t="s">
        <v>44</v>
      </c>
      <c r="B52" s="23" t="s">
        <v>25</v>
      </c>
      <c r="C52" s="118"/>
      <c r="D52" s="118"/>
      <c r="E52" s="4"/>
      <c r="F52" s="4"/>
      <c r="G52" s="4"/>
    </row>
    <row r="53" spans="1:7" ht="18.75" customHeight="1">
      <c r="A53" s="9" t="s">
        <v>45</v>
      </c>
      <c r="B53" s="21" t="s">
        <v>128</v>
      </c>
      <c r="C53" s="118"/>
      <c r="D53" s="118"/>
      <c r="E53" s="5"/>
      <c r="F53" s="4"/>
      <c r="G53" s="4"/>
    </row>
    <row r="54" spans="1:7" ht="42" customHeight="1">
      <c r="A54" s="10" t="s">
        <v>46</v>
      </c>
      <c r="B54" s="22" t="s">
        <v>80</v>
      </c>
      <c r="C54" s="118"/>
      <c r="D54" s="118"/>
      <c r="E54" s="5"/>
      <c r="F54" s="4"/>
      <c r="G54" s="4"/>
    </row>
    <row r="55" spans="1:7" ht="12" customHeight="1">
      <c r="A55" s="128" t="s">
        <v>47</v>
      </c>
      <c r="B55" s="128"/>
      <c r="C55" s="128"/>
      <c r="D55" s="128"/>
      <c r="E55" s="142"/>
      <c r="F55" s="142"/>
      <c r="G55" s="142"/>
    </row>
    <row r="56" spans="1:7" ht="12" customHeight="1">
      <c r="A56" s="9" t="s">
        <v>48</v>
      </c>
      <c r="B56" s="22" t="s">
        <v>84</v>
      </c>
      <c r="C56" s="118">
        <v>0.54</v>
      </c>
      <c r="D56" s="118">
        <f>C56*11*B9</f>
        <v>7404.21</v>
      </c>
      <c r="E56" s="142"/>
      <c r="F56" s="143"/>
      <c r="G56" s="143"/>
    </row>
    <row r="57" spans="1:7" ht="15" customHeight="1">
      <c r="A57" s="9" t="s">
        <v>49</v>
      </c>
      <c r="B57" s="22" t="s">
        <v>84</v>
      </c>
      <c r="C57" s="118"/>
      <c r="D57" s="118"/>
      <c r="E57" s="142"/>
      <c r="F57" s="143"/>
      <c r="G57" s="143"/>
    </row>
    <row r="58" spans="1:7" ht="28.5" customHeight="1">
      <c r="A58" s="9" t="s">
        <v>50</v>
      </c>
      <c r="B58" s="22" t="s">
        <v>85</v>
      </c>
      <c r="C58" s="118"/>
      <c r="D58" s="118"/>
      <c r="E58" s="142"/>
      <c r="F58" s="143"/>
      <c r="G58" s="143"/>
    </row>
    <row r="59" spans="1:7" ht="12" customHeight="1">
      <c r="A59" s="9" t="s">
        <v>51</v>
      </c>
      <c r="B59" s="22" t="s">
        <v>107</v>
      </c>
      <c r="C59" s="118"/>
      <c r="D59" s="118"/>
      <c r="E59" s="142"/>
      <c r="F59" s="143"/>
      <c r="G59" s="143"/>
    </row>
    <row r="60" spans="1:7" ht="36.75" customHeight="1">
      <c r="A60" s="10" t="s">
        <v>52</v>
      </c>
      <c r="B60" s="22" t="s">
        <v>80</v>
      </c>
      <c r="C60" s="118"/>
      <c r="D60" s="118"/>
      <c r="E60" s="142"/>
      <c r="F60" s="143"/>
      <c r="G60" s="143"/>
    </row>
    <row r="61" spans="1:7" ht="13.5" customHeight="1">
      <c r="A61" s="10" t="s">
        <v>53</v>
      </c>
      <c r="B61" s="23" t="s">
        <v>85</v>
      </c>
      <c r="C61" s="118"/>
      <c r="D61" s="118"/>
      <c r="E61" s="142"/>
      <c r="F61" s="143"/>
      <c r="G61" s="143"/>
    </row>
    <row r="62" spans="1:7" ht="15" customHeight="1">
      <c r="A62" s="124" t="s">
        <v>54</v>
      </c>
      <c r="B62" s="124"/>
      <c r="C62" s="124"/>
      <c r="D62" s="124"/>
      <c r="E62" s="142"/>
      <c r="F62" s="143"/>
      <c r="G62" s="143"/>
    </row>
    <row r="63" spans="1:7" ht="34.5" customHeight="1">
      <c r="A63" s="147" t="s">
        <v>55</v>
      </c>
      <c r="B63" s="141" t="s">
        <v>87</v>
      </c>
      <c r="C63" s="118">
        <v>2.41</v>
      </c>
      <c r="D63" s="118">
        <f>C63*11*B9</f>
        <v>33044.715000000004</v>
      </c>
      <c r="E63" s="142"/>
      <c r="F63" s="143"/>
      <c r="G63" s="143"/>
    </row>
    <row r="64" spans="1:7" ht="15" customHeight="1">
      <c r="A64" s="148"/>
      <c r="B64" s="141"/>
      <c r="C64" s="118"/>
      <c r="D64" s="118"/>
      <c r="E64" s="142"/>
      <c r="F64" s="143"/>
      <c r="G64" s="143"/>
    </row>
    <row r="65" spans="1:7" ht="12.75" customHeight="1">
      <c r="A65" s="54" t="s">
        <v>56</v>
      </c>
      <c r="B65" s="21"/>
      <c r="C65" s="53"/>
      <c r="D65" s="53"/>
      <c r="E65" s="142"/>
      <c r="F65" s="143"/>
      <c r="G65" s="143"/>
    </row>
    <row r="66" spans="1:7" ht="16.5" customHeight="1">
      <c r="A66" s="6" t="s">
        <v>91</v>
      </c>
      <c r="B66" s="21" t="s">
        <v>88</v>
      </c>
      <c r="C66" s="131">
        <v>2.14</v>
      </c>
      <c r="D66" s="133">
        <v>29334.01</v>
      </c>
    </row>
    <row r="67" spans="1:7">
      <c r="A67" s="6" t="s">
        <v>92</v>
      </c>
      <c r="B67" s="21" t="s">
        <v>88</v>
      </c>
      <c r="C67" s="132"/>
      <c r="D67" s="134"/>
    </row>
    <row r="68" spans="1:7" ht="15" customHeight="1">
      <c r="A68" s="6" t="s">
        <v>93</v>
      </c>
      <c r="B68" s="21" t="s">
        <v>88</v>
      </c>
      <c r="C68" s="130"/>
      <c r="D68" s="135"/>
    </row>
    <row r="69" spans="1:7" ht="39" customHeight="1">
      <c r="A69" s="6" t="s">
        <v>165</v>
      </c>
      <c r="B69" s="22" t="s">
        <v>80</v>
      </c>
      <c r="C69" s="53">
        <v>4.22</v>
      </c>
      <c r="D69" s="53">
        <v>76151.16</v>
      </c>
      <c r="E69" s="142"/>
      <c r="F69" s="143"/>
      <c r="G69" s="143"/>
    </row>
    <row r="70" spans="1:7" ht="12" customHeight="1">
      <c r="A70" s="54" t="s">
        <v>57</v>
      </c>
      <c r="B70" s="23"/>
      <c r="C70" s="28">
        <f>C69+C66+C63+C56+C43+C39+C32+C28+C22+C15+C14+C20+C19+C18+C17</f>
        <v>19.359999999999996</v>
      </c>
      <c r="D70" s="28">
        <f>D69+D66+D63+D56+D43+D39+D32+D28+D22+D20+D19+D18+D17+D15+D14</f>
        <v>283682.66500000004</v>
      </c>
      <c r="E70" s="142">
        <f>C70*11*B9</f>
        <v>265454.63999999996</v>
      </c>
      <c r="F70" s="143"/>
      <c r="G70" s="143"/>
    </row>
    <row r="71" spans="1:7">
      <c r="A71" s="51"/>
      <c r="B71" s="51"/>
      <c r="C71" s="51"/>
      <c r="D71" s="51"/>
      <c r="E71" s="51"/>
      <c r="F71" s="51"/>
      <c r="G71" s="51"/>
    </row>
    <row r="72" spans="1:7">
      <c r="A72" s="15"/>
      <c r="B72" s="16"/>
      <c r="C72" s="17"/>
      <c r="D72" s="17"/>
      <c r="E72" s="18"/>
      <c r="F72" s="18"/>
      <c r="G72" s="16"/>
    </row>
    <row r="73" spans="1:7" ht="17.25" customHeight="1">
      <c r="A73" s="15"/>
      <c r="B73" s="16"/>
      <c r="C73" s="144"/>
      <c r="D73" s="144"/>
      <c r="E73" s="146"/>
      <c r="F73" s="146"/>
      <c r="G73" s="16"/>
    </row>
    <row r="74" spans="1:7" ht="17.25" customHeight="1">
      <c r="A74" s="15"/>
      <c r="B74" s="16"/>
      <c r="C74" s="145"/>
      <c r="D74" s="145"/>
      <c r="E74" s="145"/>
      <c r="F74" s="145"/>
      <c r="G74" s="16"/>
    </row>
    <row r="75" spans="1:7" ht="17.25" customHeight="1">
      <c r="A75" s="19"/>
      <c r="B75" s="12"/>
      <c r="C75" s="13"/>
      <c r="D75" s="47">
        <f>D73-D70</f>
        <v>-283682.66500000004</v>
      </c>
      <c r="E75" s="13"/>
      <c r="F75" s="20"/>
      <c r="G75" s="14"/>
    </row>
    <row r="76" spans="1:7" ht="17.25" customHeight="1">
      <c r="A76" s="19"/>
      <c r="B76" s="12"/>
      <c r="C76" s="13"/>
      <c r="D76" s="13"/>
      <c r="E76" s="13"/>
      <c r="F76" s="13"/>
      <c r="G76" s="14"/>
    </row>
    <row r="77" spans="1:7" ht="17.25" customHeight="1">
      <c r="A77" s="19"/>
      <c r="B77" s="12"/>
      <c r="C77" s="13"/>
      <c r="D77" s="13"/>
      <c r="E77" s="13"/>
      <c r="F77" s="13"/>
      <c r="G77" s="14"/>
    </row>
    <row r="78" spans="1:7">
      <c r="A78" s="19"/>
      <c r="B78" s="12"/>
      <c r="C78" s="13"/>
      <c r="D78" s="13"/>
      <c r="E78" s="13"/>
      <c r="F78" s="13"/>
      <c r="G78" s="14"/>
    </row>
    <row r="79" spans="1:7">
      <c r="A79" s="19"/>
      <c r="B79" s="12"/>
      <c r="C79" s="13"/>
      <c r="D79" s="13"/>
      <c r="E79" s="13"/>
      <c r="F79" s="13"/>
      <c r="G79" s="14"/>
    </row>
    <row r="80" spans="1:7">
      <c r="A80" s="19"/>
      <c r="B80" s="12"/>
      <c r="C80" s="13"/>
      <c r="D80" s="13"/>
      <c r="E80" s="13"/>
      <c r="F80" s="13"/>
      <c r="G80" s="14"/>
    </row>
    <row r="81" spans="1:7">
      <c r="A81" s="19"/>
      <c r="B81" s="12"/>
      <c r="C81" s="13"/>
      <c r="D81" s="13"/>
      <c r="E81" s="13"/>
      <c r="F81" s="13"/>
      <c r="G81" s="14"/>
    </row>
    <row r="82" spans="1:7">
      <c r="A82" s="19"/>
      <c r="B82" s="12"/>
      <c r="C82" s="13"/>
      <c r="D82" s="13"/>
      <c r="E82" s="13"/>
      <c r="F82" s="13"/>
      <c r="G82" s="14"/>
    </row>
    <row r="83" spans="1:7">
      <c r="A83" s="11"/>
      <c r="B83" s="12"/>
      <c r="C83" s="13"/>
      <c r="D83" s="13"/>
      <c r="E83" s="13"/>
      <c r="F83" s="13"/>
      <c r="G83" s="14"/>
    </row>
  </sheetData>
  <mergeCells count="75">
    <mergeCell ref="E16:G16"/>
    <mergeCell ref="E12:G12"/>
    <mergeCell ref="A13:D13"/>
    <mergeCell ref="E13:G13"/>
    <mergeCell ref="E14:G14"/>
    <mergeCell ref="E15:G15"/>
    <mergeCell ref="A21:D21"/>
    <mergeCell ref="E21:G21"/>
    <mergeCell ref="C22:C26"/>
    <mergeCell ref="D22:D26"/>
    <mergeCell ref="E22:G22"/>
    <mergeCell ref="E23:G23"/>
    <mergeCell ref="E24:G24"/>
    <mergeCell ref="E25:G25"/>
    <mergeCell ref="E26:G26"/>
    <mergeCell ref="A27:D27"/>
    <mergeCell ref="E27:G27"/>
    <mergeCell ref="C28:C29"/>
    <mergeCell ref="D28:D29"/>
    <mergeCell ref="A30:D30"/>
    <mergeCell ref="E30:G30"/>
    <mergeCell ref="A31:D31"/>
    <mergeCell ref="E31:G31"/>
    <mergeCell ref="C32:C37"/>
    <mergeCell ref="D32:D37"/>
    <mergeCell ref="E32:G32"/>
    <mergeCell ref="E33:G33"/>
    <mergeCell ref="E34:G34"/>
    <mergeCell ref="E35:G35"/>
    <mergeCell ref="E36:G36"/>
    <mergeCell ref="E37:G37"/>
    <mergeCell ref="A38:D38"/>
    <mergeCell ref="E38:G38"/>
    <mergeCell ref="C39:C41"/>
    <mergeCell ref="D39:D41"/>
    <mergeCell ref="E39:G39"/>
    <mergeCell ref="E40:G40"/>
    <mergeCell ref="E41:G41"/>
    <mergeCell ref="A42:D42"/>
    <mergeCell ref="E42:G42"/>
    <mergeCell ref="C43:C54"/>
    <mergeCell ref="D43:D54"/>
    <mergeCell ref="E43:G43"/>
    <mergeCell ref="E44:G44"/>
    <mergeCell ref="E45:G45"/>
    <mergeCell ref="E46:G46"/>
    <mergeCell ref="E47:G47"/>
    <mergeCell ref="E48:G48"/>
    <mergeCell ref="E65:G65"/>
    <mergeCell ref="C66:C68"/>
    <mergeCell ref="D66:D68"/>
    <mergeCell ref="E69:G69"/>
    <mergeCell ref="A55:D55"/>
    <mergeCell ref="E55:G55"/>
    <mergeCell ref="C56:C61"/>
    <mergeCell ref="D56:D61"/>
    <mergeCell ref="E56:G56"/>
    <mergeCell ref="E57:G57"/>
    <mergeCell ref="E58:G58"/>
    <mergeCell ref="E59:G59"/>
    <mergeCell ref="E60:G60"/>
    <mergeCell ref="E61:G61"/>
    <mergeCell ref="A62:D62"/>
    <mergeCell ref="E62:G62"/>
    <mergeCell ref="A63:A64"/>
    <mergeCell ref="B63:B64"/>
    <mergeCell ref="C63:C64"/>
    <mergeCell ref="D63:D64"/>
    <mergeCell ref="E63:G63"/>
    <mergeCell ref="E64:G64"/>
    <mergeCell ref="E70:G70"/>
    <mergeCell ref="C73:C74"/>
    <mergeCell ref="D73:D74"/>
    <mergeCell ref="E73:E74"/>
    <mergeCell ref="F73:F7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G85"/>
  <sheetViews>
    <sheetView topLeftCell="A58" workbookViewId="0">
      <selection activeCell="A71" sqref="A71"/>
    </sheetView>
  </sheetViews>
  <sheetFormatPr defaultRowHeight="15"/>
  <cols>
    <col min="1" max="1" width="95.28515625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64</v>
      </c>
      <c r="E1" s="2"/>
      <c r="F1" s="2"/>
      <c r="G1" s="2"/>
    </row>
    <row r="2" spans="1:7">
      <c r="A2" s="1" t="s">
        <v>116</v>
      </c>
      <c r="B2" s="2"/>
      <c r="C2" s="2"/>
      <c r="D2" s="2"/>
      <c r="E2" s="2"/>
      <c r="F2" s="2"/>
      <c r="G2" s="2"/>
    </row>
    <row r="3" spans="1:7">
      <c r="A3" s="1" t="s">
        <v>110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59</v>
      </c>
      <c r="B5" s="2">
        <v>1964</v>
      </c>
      <c r="C5" s="2"/>
      <c r="D5" s="2"/>
      <c r="E5" s="2"/>
      <c r="F5" s="2"/>
      <c r="G5" s="2"/>
    </row>
    <row r="6" spans="1:7">
      <c r="A6" s="25" t="s">
        <v>60</v>
      </c>
      <c r="B6" s="2">
        <v>4</v>
      </c>
      <c r="C6" s="2"/>
      <c r="D6" s="2"/>
      <c r="E6" s="2"/>
      <c r="F6" s="2"/>
      <c r="G6" s="2"/>
    </row>
    <row r="7" spans="1:7">
      <c r="A7" s="25" t="s">
        <v>61</v>
      </c>
      <c r="B7" s="2">
        <v>4</v>
      </c>
      <c r="C7" s="2"/>
      <c r="D7" s="2"/>
      <c r="E7" s="2"/>
      <c r="F7" s="2"/>
      <c r="G7" s="2"/>
    </row>
    <row r="8" spans="1:7">
      <c r="A8" s="25" t="s">
        <v>62</v>
      </c>
      <c r="B8" s="2">
        <v>64</v>
      </c>
      <c r="C8" s="2"/>
      <c r="D8" s="2"/>
      <c r="E8" s="2"/>
      <c r="F8" s="2"/>
      <c r="G8" s="2"/>
    </row>
    <row r="9" spans="1:7">
      <c r="A9" s="25" t="s">
        <v>73</v>
      </c>
      <c r="B9" s="2">
        <v>2521.8000000000002</v>
      </c>
      <c r="C9" s="2"/>
      <c r="D9" s="2"/>
      <c r="E9" s="2"/>
      <c r="F9" s="2"/>
      <c r="G9" s="2"/>
    </row>
    <row r="10" spans="1:7">
      <c r="A10" s="25" t="s">
        <v>63</v>
      </c>
      <c r="B10" s="2">
        <v>194.7</v>
      </c>
      <c r="C10" s="2"/>
      <c r="D10" s="2"/>
      <c r="E10" s="2"/>
      <c r="F10" s="2"/>
      <c r="G10" s="2"/>
    </row>
    <row r="11" spans="1:7">
      <c r="A11" s="25" t="s">
        <v>74</v>
      </c>
      <c r="B11" s="48" t="s">
        <v>101</v>
      </c>
      <c r="C11" s="2"/>
      <c r="D11" s="2"/>
      <c r="E11" s="2"/>
      <c r="F11" s="2"/>
      <c r="G11" s="2"/>
    </row>
    <row r="12" spans="1:7" ht="45.75" customHeight="1">
      <c r="A12" s="40" t="s">
        <v>1</v>
      </c>
      <c r="B12" s="40" t="s">
        <v>2</v>
      </c>
      <c r="C12" s="40" t="s">
        <v>3</v>
      </c>
      <c r="D12" s="40" t="s">
        <v>4</v>
      </c>
      <c r="E12" s="142"/>
      <c r="F12" s="142"/>
      <c r="G12" s="142"/>
    </row>
    <row r="13" spans="1:7">
      <c r="A13" s="153" t="s">
        <v>5</v>
      </c>
      <c r="B13" s="154"/>
      <c r="C13" s="154"/>
      <c r="D13" s="155"/>
      <c r="E13" s="142"/>
      <c r="F13" s="142"/>
      <c r="G13" s="142"/>
    </row>
    <row r="14" spans="1:7" ht="87" customHeight="1">
      <c r="A14" s="6" t="s">
        <v>6</v>
      </c>
      <c r="B14" s="40" t="s">
        <v>7</v>
      </c>
      <c r="C14" s="38">
        <v>0.13</v>
      </c>
      <c r="D14" s="40">
        <f>C14*11*B9</f>
        <v>3606.1740000000009</v>
      </c>
      <c r="E14" s="142"/>
      <c r="F14" s="142"/>
      <c r="G14" s="142"/>
    </row>
    <row r="15" spans="1:7" ht="73.5" customHeight="1">
      <c r="A15" s="6" t="s">
        <v>8</v>
      </c>
      <c r="B15" s="40" t="s">
        <v>9</v>
      </c>
      <c r="C15" s="26">
        <v>2.0499999999999998</v>
      </c>
      <c r="D15" s="26">
        <f>C15*11*B9</f>
        <v>56866.59</v>
      </c>
      <c r="E15" s="142"/>
      <c r="F15" s="143"/>
      <c r="G15" s="143"/>
    </row>
    <row r="16" spans="1:7">
      <c r="A16" s="6" t="s">
        <v>10</v>
      </c>
      <c r="B16" s="40"/>
      <c r="C16" s="26"/>
      <c r="D16" s="26"/>
      <c r="E16" s="142"/>
      <c r="F16" s="143"/>
      <c r="G16" s="143"/>
    </row>
    <row r="17" spans="1:7">
      <c r="A17" s="6" t="s">
        <v>118</v>
      </c>
      <c r="B17" s="49" t="s">
        <v>126</v>
      </c>
      <c r="C17" s="46">
        <v>1.17</v>
      </c>
      <c r="D17" s="30">
        <f>C17*11*B9</f>
        <v>32455.565999999999</v>
      </c>
    </row>
    <row r="18" spans="1:7">
      <c r="A18" s="6" t="s">
        <v>123</v>
      </c>
      <c r="B18" s="49" t="s">
        <v>89</v>
      </c>
      <c r="C18" s="26">
        <v>0.16</v>
      </c>
      <c r="D18" s="30">
        <f>C18*11*B9</f>
        <v>4438.3680000000004</v>
      </c>
    </row>
    <row r="19" spans="1:7">
      <c r="A19" s="6" t="s">
        <v>120</v>
      </c>
      <c r="B19" s="49" t="s">
        <v>89</v>
      </c>
      <c r="C19" s="26">
        <v>0.03</v>
      </c>
      <c r="D19" s="30">
        <f>C19*11*B9</f>
        <v>832.19399999999996</v>
      </c>
    </row>
    <row r="20" spans="1:7">
      <c r="A20" s="6" t="s">
        <v>122</v>
      </c>
      <c r="B20" s="49" t="s">
        <v>85</v>
      </c>
      <c r="C20" s="26">
        <v>0.26</v>
      </c>
      <c r="D20" s="30">
        <f>C20*11*B9</f>
        <v>7212.3480000000018</v>
      </c>
    </row>
    <row r="21" spans="1:7">
      <c r="A21" s="6" t="s">
        <v>119</v>
      </c>
      <c r="B21" s="49" t="s">
        <v>127</v>
      </c>
      <c r="C21" s="46">
        <v>0.83</v>
      </c>
      <c r="D21" s="30">
        <f>C21*11*B9</f>
        <v>23024.034</v>
      </c>
    </row>
    <row r="22" spans="1:7">
      <c r="A22" s="6" t="s">
        <v>121</v>
      </c>
      <c r="B22" s="49" t="s">
        <v>107</v>
      </c>
      <c r="C22" s="26">
        <v>1.1399999999999999</v>
      </c>
      <c r="D22" s="30">
        <f>C22*11*B9</f>
        <v>31623.371999999999</v>
      </c>
    </row>
    <row r="23" spans="1:7" ht="12" customHeight="1">
      <c r="A23" s="149" t="s">
        <v>11</v>
      </c>
      <c r="B23" s="150"/>
      <c r="C23" s="150"/>
      <c r="D23" s="151"/>
      <c r="E23" s="152"/>
      <c r="F23" s="142"/>
      <c r="G23" s="142"/>
    </row>
    <row r="24" spans="1:7" ht="11.25" customHeight="1">
      <c r="A24" s="6" t="s">
        <v>12</v>
      </c>
      <c r="B24" s="44" t="s">
        <v>76</v>
      </c>
      <c r="C24" s="129">
        <v>2.16</v>
      </c>
      <c r="D24" s="129">
        <f>C24*11*B9</f>
        <v>59917.968000000008</v>
      </c>
      <c r="E24" s="152"/>
      <c r="F24" s="142"/>
      <c r="G24" s="142"/>
    </row>
    <row r="25" spans="1:7" ht="13.5" customHeight="1">
      <c r="A25" s="6" t="s">
        <v>13</v>
      </c>
      <c r="B25" s="44" t="s">
        <v>76</v>
      </c>
      <c r="C25" s="119"/>
      <c r="D25" s="119"/>
      <c r="E25" s="152"/>
      <c r="F25" s="142"/>
      <c r="G25" s="142"/>
    </row>
    <row r="26" spans="1:7" ht="12.75" customHeight="1">
      <c r="A26" s="6" t="s">
        <v>14</v>
      </c>
      <c r="B26" s="44" t="s">
        <v>76</v>
      </c>
      <c r="C26" s="119"/>
      <c r="D26" s="119"/>
      <c r="E26" s="152"/>
      <c r="F26" s="142"/>
      <c r="G26" s="142"/>
    </row>
    <row r="27" spans="1:7" ht="12" customHeight="1">
      <c r="A27" s="6" t="s">
        <v>15</v>
      </c>
      <c r="B27" s="44" t="s">
        <v>77</v>
      </c>
      <c r="C27" s="119"/>
      <c r="D27" s="119"/>
      <c r="E27" s="152"/>
      <c r="F27" s="142"/>
      <c r="G27" s="142"/>
    </row>
    <row r="28" spans="1:7" ht="24" customHeight="1">
      <c r="A28" s="6" t="s">
        <v>16</v>
      </c>
      <c r="B28" s="44" t="s">
        <v>95</v>
      </c>
      <c r="C28" s="120"/>
      <c r="D28" s="120"/>
      <c r="E28" s="152"/>
      <c r="F28" s="142"/>
      <c r="G28" s="142"/>
    </row>
    <row r="29" spans="1:7" ht="12" customHeight="1">
      <c r="A29" s="149" t="s">
        <v>17</v>
      </c>
      <c r="B29" s="150"/>
      <c r="C29" s="150"/>
      <c r="D29" s="151"/>
      <c r="E29" s="152"/>
      <c r="F29" s="142"/>
      <c r="G29" s="142"/>
    </row>
    <row r="30" spans="1:7" ht="12" customHeight="1">
      <c r="A30" s="7" t="s">
        <v>18</v>
      </c>
      <c r="B30" s="21" t="s">
        <v>79</v>
      </c>
      <c r="C30" s="118">
        <v>0.2</v>
      </c>
      <c r="D30" s="128">
        <f>C30*11*B9</f>
        <v>5547.9600000000009</v>
      </c>
      <c r="E30" s="15"/>
    </row>
    <row r="31" spans="1:7" ht="12" customHeight="1">
      <c r="A31" s="7" t="s">
        <v>19</v>
      </c>
      <c r="B31" s="21" t="s">
        <v>78</v>
      </c>
      <c r="C31" s="118"/>
      <c r="D31" s="128"/>
      <c r="E31" s="50"/>
    </row>
    <row r="32" spans="1:7" ht="12" customHeight="1">
      <c r="A32" s="124" t="s">
        <v>20</v>
      </c>
      <c r="B32" s="124"/>
      <c r="C32" s="124"/>
      <c r="D32" s="124"/>
      <c r="E32" s="142"/>
      <c r="F32" s="143"/>
      <c r="G32" s="143"/>
    </row>
    <row r="33" spans="1:7" ht="12" customHeight="1">
      <c r="A33" s="128" t="s">
        <v>21</v>
      </c>
      <c r="B33" s="128"/>
      <c r="C33" s="128"/>
      <c r="D33" s="128"/>
      <c r="E33" s="142"/>
      <c r="F33" s="143"/>
      <c r="G33" s="143"/>
    </row>
    <row r="34" spans="1:7" ht="41.25" customHeight="1">
      <c r="A34" s="8" t="s">
        <v>22</v>
      </c>
      <c r="B34" s="22" t="s">
        <v>80</v>
      </c>
      <c r="C34" s="118">
        <v>0.54</v>
      </c>
      <c r="D34" s="118">
        <f>C34*11*B9</f>
        <v>14979.492000000002</v>
      </c>
      <c r="E34" s="142"/>
      <c r="F34" s="143"/>
      <c r="G34" s="143"/>
    </row>
    <row r="35" spans="1:7" ht="14.25" customHeight="1">
      <c r="A35" s="9" t="s">
        <v>24</v>
      </c>
      <c r="B35" s="23" t="s">
        <v>81</v>
      </c>
      <c r="C35" s="118"/>
      <c r="D35" s="118"/>
      <c r="E35" s="142"/>
      <c r="F35" s="143"/>
      <c r="G35" s="143"/>
    </row>
    <row r="36" spans="1:7" ht="12" customHeight="1">
      <c r="A36" s="9" t="s">
        <v>26</v>
      </c>
      <c r="B36" s="23" t="s">
        <v>81</v>
      </c>
      <c r="C36" s="118"/>
      <c r="D36" s="118"/>
      <c r="E36" s="142"/>
      <c r="F36" s="143"/>
      <c r="G36" s="143"/>
    </row>
    <row r="37" spans="1:7" ht="42.75" customHeight="1">
      <c r="A37" s="9" t="s">
        <v>27</v>
      </c>
      <c r="B37" s="22" t="s">
        <v>80</v>
      </c>
      <c r="C37" s="118"/>
      <c r="D37" s="118"/>
      <c r="E37" s="142"/>
      <c r="F37" s="143"/>
      <c r="G37" s="143"/>
    </row>
    <row r="38" spans="1:7" ht="12" customHeight="1">
      <c r="A38" s="9" t="s">
        <v>28</v>
      </c>
      <c r="B38" s="22" t="s">
        <v>25</v>
      </c>
      <c r="C38" s="118"/>
      <c r="D38" s="118"/>
      <c r="E38" s="142"/>
      <c r="F38" s="143"/>
      <c r="G38" s="143"/>
    </row>
    <row r="39" spans="1:7" ht="42" customHeight="1">
      <c r="A39" s="10" t="s">
        <v>29</v>
      </c>
      <c r="B39" s="22" t="s">
        <v>80</v>
      </c>
      <c r="C39" s="118"/>
      <c r="D39" s="118"/>
      <c r="E39" s="142"/>
      <c r="F39" s="143"/>
      <c r="G39" s="143"/>
    </row>
    <row r="40" spans="1:7" ht="12" customHeight="1">
      <c r="A40" s="128" t="s">
        <v>30</v>
      </c>
      <c r="B40" s="128"/>
      <c r="C40" s="128"/>
      <c r="D40" s="128"/>
      <c r="E40" s="142"/>
      <c r="F40" s="143"/>
      <c r="G40" s="143"/>
    </row>
    <row r="41" spans="1:7" ht="39" customHeight="1">
      <c r="A41" s="9" t="s">
        <v>31</v>
      </c>
      <c r="B41" s="22" t="s">
        <v>80</v>
      </c>
      <c r="C41" s="118">
        <v>0.62</v>
      </c>
      <c r="D41" s="118">
        <f>C41*11*B9</f>
        <v>17198.676000000003</v>
      </c>
      <c r="E41" s="142"/>
      <c r="F41" s="143"/>
      <c r="G41" s="143"/>
    </row>
    <row r="42" spans="1:7" ht="34.5" customHeight="1">
      <c r="A42" s="9" t="s">
        <v>32</v>
      </c>
      <c r="B42" s="22" t="s">
        <v>80</v>
      </c>
      <c r="C42" s="118"/>
      <c r="D42" s="118"/>
      <c r="E42" s="142"/>
      <c r="F42" s="143"/>
      <c r="G42" s="143"/>
    </row>
    <row r="43" spans="1:7" ht="38.25" customHeight="1">
      <c r="A43" s="10" t="s">
        <v>33</v>
      </c>
      <c r="B43" s="22" t="s">
        <v>80</v>
      </c>
      <c r="C43" s="118"/>
      <c r="D43" s="118"/>
      <c r="E43" s="142"/>
      <c r="F43" s="143"/>
      <c r="G43" s="143"/>
    </row>
    <row r="44" spans="1:7" ht="12" customHeight="1">
      <c r="A44" s="128" t="s">
        <v>34</v>
      </c>
      <c r="B44" s="128"/>
      <c r="C44" s="128"/>
      <c r="D44" s="128"/>
      <c r="E44" s="142"/>
      <c r="F44" s="143"/>
      <c r="G44" s="143"/>
    </row>
    <row r="45" spans="1:7" ht="26.25" customHeight="1">
      <c r="A45" s="9" t="s">
        <v>35</v>
      </c>
      <c r="B45" s="22" t="s">
        <v>113</v>
      </c>
      <c r="C45" s="118">
        <v>0.76</v>
      </c>
      <c r="D45" s="118">
        <f>C45*11*B9+15.6</f>
        <v>21097.847999999998</v>
      </c>
      <c r="E45" s="142"/>
      <c r="F45" s="143"/>
      <c r="G45" s="143"/>
    </row>
    <row r="46" spans="1:7" ht="15" customHeight="1">
      <c r="A46" s="9" t="s">
        <v>36</v>
      </c>
      <c r="B46" s="22" t="s">
        <v>114</v>
      </c>
      <c r="C46" s="118"/>
      <c r="D46" s="118"/>
      <c r="E46" s="142"/>
      <c r="F46" s="143"/>
      <c r="G46" s="143"/>
    </row>
    <row r="47" spans="1:7" ht="14.25" customHeight="1">
      <c r="A47" s="9" t="s">
        <v>37</v>
      </c>
      <c r="B47" s="22" t="s">
        <v>85</v>
      </c>
      <c r="C47" s="118"/>
      <c r="D47" s="118"/>
      <c r="E47" s="142"/>
      <c r="F47" s="143"/>
      <c r="G47" s="143"/>
    </row>
    <row r="48" spans="1:7" ht="33" customHeight="1">
      <c r="A48" s="9" t="s">
        <v>38</v>
      </c>
      <c r="B48" s="22" t="s">
        <v>83</v>
      </c>
      <c r="C48" s="118"/>
      <c r="D48" s="118"/>
      <c r="E48" s="142"/>
      <c r="F48" s="143"/>
      <c r="G48" s="143"/>
    </row>
    <row r="49" spans="1:7" ht="27" customHeight="1">
      <c r="A49" s="9" t="s">
        <v>39</v>
      </c>
      <c r="B49" s="22" t="s">
        <v>83</v>
      </c>
      <c r="C49" s="118"/>
      <c r="D49" s="118"/>
      <c r="E49" s="142"/>
      <c r="F49" s="143"/>
      <c r="G49" s="143"/>
    </row>
    <row r="50" spans="1:7" ht="13.5" customHeight="1">
      <c r="A50" s="39" t="s">
        <v>40</v>
      </c>
      <c r="B50" s="6"/>
      <c r="C50" s="118"/>
      <c r="D50" s="118"/>
      <c r="E50" s="142"/>
      <c r="F50" s="143"/>
      <c r="G50" s="143"/>
    </row>
    <row r="51" spans="1:7" ht="42" customHeight="1">
      <c r="A51" s="9" t="s">
        <v>41</v>
      </c>
      <c r="B51" s="22" t="s">
        <v>80</v>
      </c>
      <c r="C51" s="118"/>
      <c r="D51" s="118"/>
      <c r="E51" s="4"/>
      <c r="F51" s="4"/>
      <c r="G51" s="4"/>
    </row>
    <row r="52" spans="1:7" ht="14.25" customHeight="1">
      <c r="A52" s="9" t="s">
        <v>42</v>
      </c>
      <c r="B52" s="22" t="s">
        <v>25</v>
      </c>
      <c r="C52" s="118"/>
      <c r="D52" s="118"/>
      <c r="E52" s="4"/>
      <c r="F52" s="4"/>
      <c r="G52" s="4"/>
    </row>
    <row r="53" spans="1:7" ht="15" customHeight="1">
      <c r="A53" s="9" t="s">
        <v>43</v>
      </c>
      <c r="B53" s="23" t="s">
        <v>25</v>
      </c>
      <c r="C53" s="118"/>
      <c r="D53" s="118"/>
      <c r="E53" s="4"/>
      <c r="F53" s="4"/>
      <c r="G53" s="4"/>
    </row>
    <row r="54" spans="1:7" ht="15.75" customHeight="1">
      <c r="A54" s="9" t="s">
        <v>44</v>
      </c>
      <c r="B54" s="23" t="s">
        <v>25</v>
      </c>
      <c r="C54" s="118"/>
      <c r="D54" s="118"/>
      <c r="E54" s="4"/>
      <c r="F54" s="4"/>
      <c r="G54" s="4"/>
    </row>
    <row r="55" spans="1:7" ht="18.75" customHeight="1">
      <c r="A55" s="9" t="s">
        <v>45</v>
      </c>
      <c r="B55" s="21" t="s">
        <v>117</v>
      </c>
      <c r="C55" s="118"/>
      <c r="D55" s="118"/>
      <c r="E55" s="5"/>
      <c r="F55" s="4"/>
      <c r="G55" s="4"/>
    </row>
    <row r="56" spans="1:7" ht="42" customHeight="1">
      <c r="A56" s="10" t="s">
        <v>46</v>
      </c>
      <c r="B56" s="22" t="s">
        <v>80</v>
      </c>
      <c r="C56" s="118"/>
      <c r="D56" s="118"/>
      <c r="E56" s="5"/>
      <c r="F56" s="4"/>
      <c r="G56" s="4"/>
    </row>
    <row r="57" spans="1:7" ht="12" customHeight="1">
      <c r="A57" s="128" t="s">
        <v>47</v>
      </c>
      <c r="B57" s="128"/>
      <c r="C57" s="128"/>
      <c r="D57" s="128"/>
      <c r="E57" s="142"/>
      <c r="F57" s="142"/>
      <c r="G57" s="142"/>
    </row>
    <row r="58" spans="1:7" ht="12" customHeight="1">
      <c r="A58" s="9" t="s">
        <v>48</v>
      </c>
      <c r="B58" s="22" t="s">
        <v>84</v>
      </c>
      <c r="C58" s="118">
        <v>0.54</v>
      </c>
      <c r="D58" s="118">
        <f>C58*11*B9</f>
        <v>14979.492000000002</v>
      </c>
      <c r="E58" s="142"/>
      <c r="F58" s="143"/>
      <c r="G58" s="143"/>
    </row>
    <row r="59" spans="1:7" ht="15" customHeight="1">
      <c r="A59" s="9" t="s">
        <v>49</v>
      </c>
      <c r="B59" s="22" t="s">
        <v>84</v>
      </c>
      <c r="C59" s="118"/>
      <c r="D59" s="118"/>
      <c r="E59" s="142"/>
      <c r="F59" s="143"/>
      <c r="G59" s="143"/>
    </row>
    <row r="60" spans="1:7" ht="28.5" customHeight="1">
      <c r="A60" s="9" t="s">
        <v>50</v>
      </c>
      <c r="B60" s="22" t="s">
        <v>85</v>
      </c>
      <c r="C60" s="118"/>
      <c r="D60" s="118"/>
      <c r="E60" s="142"/>
      <c r="F60" s="143"/>
      <c r="G60" s="143"/>
    </row>
    <row r="61" spans="1:7" ht="12" customHeight="1">
      <c r="A61" s="9" t="s">
        <v>51</v>
      </c>
      <c r="B61" s="22" t="s">
        <v>107</v>
      </c>
      <c r="C61" s="118"/>
      <c r="D61" s="118"/>
      <c r="E61" s="142"/>
      <c r="F61" s="143"/>
      <c r="G61" s="143"/>
    </row>
    <row r="62" spans="1:7" ht="36.75" customHeight="1">
      <c r="A62" s="10" t="s">
        <v>52</v>
      </c>
      <c r="B62" s="22" t="s">
        <v>80</v>
      </c>
      <c r="C62" s="118"/>
      <c r="D62" s="118"/>
      <c r="E62" s="142"/>
      <c r="F62" s="143"/>
      <c r="G62" s="143"/>
    </row>
    <row r="63" spans="1:7" ht="13.5" customHeight="1">
      <c r="A63" s="10" t="s">
        <v>53</v>
      </c>
      <c r="B63" s="23" t="s">
        <v>85</v>
      </c>
      <c r="C63" s="118"/>
      <c r="D63" s="118"/>
      <c r="E63" s="142"/>
      <c r="F63" s="143"/>
      <c r="G63" s="143"/>
    </row>
    <row r="64" spans="1:7" ht="15" customHeight="1">
      <c r="A64" s="124" t="s">
        <v>54</v>
      </c>
      <c r="B64" s="124"/>
      <c r="C64" s="124"/>
      <c r="D64" s="124"/>
      <c r="E64" s="142"/>
      <c r="F64" s="143"/>
      <c r="G64" s="143"/>
    </row>
    <row r="65" spans="1:7" ht="34.5" customHeight="1">
      <c r="A65" s="147" t="s">
        <v>55</v>
      </c>
      <c r="B65" s="141" t="s">
        <v>87</v>
      </c>
      <c r="C65" s="118">
        <v>2.41</v>
      </c>
      <c r="D65" s="118">
        <f>C65*11*B9</f>
        <v>66852.918000000005</v>
      </c>
      <c r="E65" s="142"/>
      <c r="F65" s="143"/>
      <c r="G65" s="143"/>
    </row>
    <row r="66" spans="1:7" ht="15" customHeight="1">
      <c r="A66" s="148"/>
      <c r="B66" s="141"/>
      <c r="C66" s="118"/>
      <c r="D66" s="118"/>
      <c r="E66" s="142"/>
      <c r="F66" s="143"/>
      <c r="G66" s="143"/>
    </row>
    <row r="67" spans="1:7" ht="12.75" customHeight="1">
      <c r="A67" s="39" t="s">
        <v>56</v>
      </c>
      <c r="B67" s="21"/>
      <c r="C67" s="37"/>
      <c r="D67" s="37"/>
      <c r="E67" s="142"/>
      <c r="F67" s="143"/>
      <c r="G67" s="143"/>
    </row>
    <row r="68" spans="1:7" ht="16.5" customHeight="1">
      <c r="A68" s="6" t="s">
        <v>91</v>
      </c>
      <c r="B68" s="21" t="s">
        <v>88</v>
      </c>
      <c r="C68" s="131">
        <v>2.14</v>
      </c>
      <c r="D68" s="133">
        <v>59365.95</v>
      </c>
    </row>
    <row r="69" spans="1:7">
      <c r="A69" s="6" t="s">
        <v>92</v>
      </c>
      <c r="B69" s="21" t="s">
        <v>88</v>
      </c>
      <c r="C69" s="132"/>
      <c r="D69" s="134"/>
    </row>
    <row r="70" spans="1:7" ht="15" customHeight="1">
      <c r="A70" s="6" t="s">
        <v>93</v>
      </c>
      <c r="B70" s="21" t="s">
        <v>88</v>
      </c>
      <c r="C70" s="130"/>
      <c r="D70" s="135"/>
    </row>
    <row r="71" spans="1:7" ht="39" customHeight="1">
      <c r="A71" s="6" t="s">
        <v>165</v>
      </c>
      <c r="B71" s="22" t="s">
        <v>80</v>
      </c>
      <c r="C71" s="37">
        <v>4.22</v>
      </c>
      <c r="D71" s="37">
        <v>114752.37</v>
      </c>
      <c r="E71" s="142"/>
      <c r="F71" s="143"/>
      <c r="G71" s="143"/>
    </row>
    <row r="72" spans="1:7" ht="12" customHeight="1">
      <c r="A72" s="39" t="s">
        <v>57</v>
      </c>
      <c r="B72" s="23"/>
      <c r="C72" s="28">
        <f>C71+C68+C65+C58+C45+C41+C34+C30+C24+C22+C21+C20+C19+C18+C17+C15+C14</f>
        <v>19.359999999999992</v>
      </c>
      <c r="D72" s="28">
        <f>D71+D68+D65+D58+D45+D41+D34+D30+D24+D22+D21+D20+D19+D18+D17+D15+D14</f>
        <v>534751.31999999995</v>
      </c>
      <c r="E72" s="142">
        <f>C72*11*B9</f>
        <v>537042.52799999982</v>
      </c>
      <c r="F72" s="143"/>
      <c r="G72" s="143"/>
    </row>
    <row r="73" spans="1:7">
      <c r="A73" s="36"/>
      <c r="B73" s="36"/>
      <c r="C73" s="36"/>
      <c r="D73" s="36"/>
      <c r="E73" s="36"/>
      <c r="F73" s="36"/>
      <c r="G73" s="36"/>
    </row>
    <row r="74" spans="1:7">
      <c r="A74" s="15"/>
      <c r="B74" s="16"/>
      <c r="C74" s="17"/>
      <c r="D74" s="17"/>
      <c r="E74" s="18"/>
      <c r="F74" s="18"/>
      <c r="G74" s="16"/>
    </row>
    <row r="75" spans="1:7" ht="17.25" customHeight="1">
      <c r="A75" s="15"/>
      <c r="B75" s="16"/>
      <c r="C75" s="144"/>
      <c r="D75" s="144"/>
      <c r="E75" s="146"/>
      <c r="F75" s="146"/>
      <c r="G75" s="16"/>
    </row>
    <row r="76" spans="1:7" ht="17.25" customHeight="1">
      <c r="A76" s="15"/>
      <c r="B76" s="16"/>
      <c r="C76" s="145"/>
      <c r="D76" s="145"/>
      <c r="E76" s="145"/>
      <c r="F76" s="145"/>
      <c r="G76" s="16"/>
    </row>
    <row r="77" spans="1:7" ht="17.25" customHeight="1">
      <c r="A77" s="19"/>
      <c r="B77" s="12"/>
      <c r="C77" s="13"/>
      <c r="D77" s="47"/>
      <c r="E77" s="13"/>
      <c r="F77" s="20"/>
      <c r="G77" s="14"/>
    </row>
    <row r="78" spans="1:7" ht="17.25" customHeight="1">
      <c r="A78" s="19"/>
      <c r="B78" s="12"/>
      <c r="C78" s="13"/>
      <c r="D78" s="13"/>
      <c r="E78" s="13"/>
      <c r="F78" s="13"/>
      <c r="G78" s="14"/>
    </row>
    <row r="79" spans="1:7" ht="17.25" customHeight="1">
      <c r="A79" s="19"/>
      <c r="B79" s="12"/>
      <c r="C79" s="13"/>
      <c r="D79" s="13"/>
      <c r="E79" s="13"/>
      <c r="F79" s="13"/>
      <c r="G79" s="14"/>
    </row>
    <row r="80" spans="1:7">
      <c r="A80" s="19"/>
      <c r="B80" s="12"/>
      <c r="C80" s="13"/>
      <c r="D80" s="13"/>
      <c r="E80" s="13"/>
      <c r="F80" s="13"/>
      <c r="G80" s="14"/>
    </row>
    <row r="81" spans="1:7">
      <c r="A81" s="19"/>
      <c r="B81" s="12"/>
      <c r="C81" s="13"/>
      <c r="D81" s="13"/>
      <c r="E81" s="13"/>
      <c r="F81" s="13"/>
      <c r="G81" s="14"/>
    </row>
    <row r="82" spans="1:7">
      <c r="A82" s="19"/>
      <c r="B82" s="12"/>
      <c r="C82" s="13"/>
      <c r="D82" s="13"/>
      <c r="E82" s="13"/>
      <c r="F82" s="13"/>
      <c r="G82" s="14"/>
    </row>
    <row r="83" spans="1:7">
      <c r="A83" s="19"/>
      <c r="B83" s="12"/>
      <c r="C83" s="13"/>
      <c r="D83" s="13"/>
      <c r="E83" s="13"/>
      <c r="F83" s="13"/>
      <c r="G83" s="14"/>
    </row>
    <row r="84" spans="1:7">
      <c r="A84" s="19"/>
      <c r="B84" s="12"/>
      <c r="C84" s="13"/>
      <c r="D84" s="13"/>
      <c r="E84" s="13"/>
      <c r="F84" s="13"/>
      <c r="G84" s="14"/>
    </row>
    <row r="85" spans="1:7">
      <c r="A85" s="11"/>
      <c r="B85" s="12"/>
      <c r="C85" s="13"/>
      <c r="D85" s="13"/>
      <c r="E85" s="13"/>
      <c r="F85" s="13"/>
      <c r="G85" s="14"/>
    </row>
  </sheetData>
  <mergeCells count="75">
    <mergeCell ref="E72:G72"/>
    <mergeCell ref="C75:C76"/>
    <mergeCell ref="D75:D76"/>
    <mergeCell ref="E75:E76"/>
    <mergeCell ref="F75:F76"/>
    <mergeCell ref="A65:A66"/>
    <mergeCell ref="B65:B66"/>
    <mergeCell ref="C65:C66"/>
    <mergeCell ref="D65:D66"/>
    <mergeCell ref="E65:G65"/>
    <mergeCell ref="E66:G66"/>
    <mergeCell ref="E67:G67"/>
    <mergeCell ref="C68:C70"/>
    <mergeCell ref="D68:D70"/>
    <mergeCell ref="E71:G71"/>
    <mergeCell ref="A57:D57"/>
    <mergeCell ref="E57:G57"/>
    <mergeCell ref="C58:C63"/>
    <mergeCell ref="D58:D63"/>
    <mergeCell ref="E58:G58"/>
    <mergeCell ref="E59:G59"/>
    <mergeCell ref="E60:G60"/>
    <mergeCell ref="E61:G61"/>
    <mergeCell ref="E62:G62"/>
    <mergeCell ref="E63:G63"/>
    <mergeCell ref="A64:D64"/>
    <mergeCell ref="E64:G64"/>
    <mergeCell ref="A44:D44"/>
    <mergeCell ref="E44:G44"/>
    <mergeCell ref="C45:C56"/>
    <mergeCell ref="D45:D56"/>
    <mergeCell ref="E45:G45"/>
    <mergeCell ref="E46:G46"/>
    <mergeCell ref="E47:G47"/>
    <mergeCell ref="E48:G48"/>
    <mergeCell ref="E49:G49"/>
    <mergeCell ref="E50:G50"/>
    <mergeCell ref="A40:D40"/>
    <mergeCell ref="E40:G40"/>
    <mergeCell ref="C41:C43"/>
    <mergeCell ref="D41:D43"/>
    <mergeCell ref="E41:G41"/>
    <mergeCell ref="E42:G42"/>
    <mergeCell ref="E43:G43"/>
    <mergeCell ref="A33:D33"/>
    <mergeCell ref="E33:G33"/>
    <mergeCell ref="C34:C39"/>
    <mergeCell ref="D34:D39"/>
    <mergeCell ref="E34:G34"/>
    <mergeCell ref="E35:G35"/>
    <mergeCell ref="E36:G36"/>
    <mergeCell ref="E37:G37"/>
    <mergeCell ref="E38:G38"/>
    <mergeCell ref="E39:G39"/>
    <mergeCell ref="A29:D29"/>
    <mergeCell ref="E29:G29"/>
    <mergeCell ref="C30:C31"/>
    <mergeCell ref="D30:D31"/>
    <mergeCell ref="A32:D32"/>
    <mergeCell ref="E32:G32"/>
    <mergeCell ref="A23:D23"/>
    <mergeCell ref="E23:G23"/>
    <mergeCell ref="C24:C28"/>
    <mergeCell ref="D24:D28"/>
    <mergeCell ref="E24:G24"/>
    <mergeCell ref="E25:G25"/>
    <mergeCell ref="E26:G26"/>
    <mergeCell ref="E27:G27"/>
    <mergeCell ref="E28:G28"/>
    <mergeCell ref="E16:G16"/>
    <mergeCell ref="E12:G12"/>
    <mergeCell ref="A13:D13"/>
    <mergeCell ref="E13:G13"/>
    <mergeCell ref="E14:G14"/>
    <mergeCell ref="E15:G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G80"/>
  <sheetViews>
    <sheetView topLeftCell="A49" workbookViewId="0">
      <selection activeCell="A66" sqref="A66"/>
    </sheetView>
  </sheetViews>
  <sheetFormatPr defaultRowHeight="15"/>
  <cols>
    <col min="1" max="1" width="88" customWidth="1"/>
    <col min="2" max="2" width="12.5703125" customWidth="1"/>
    <col min="3" max="3" width="11.28515625" customWidth="1"/>
    <col min="4" max="4" width="11.7109375" customWidth="1"/>
  </cols>
  <sheetData>
    <row r="1" spans="1:7">
      <c r="A1" s="1" t="s">
        <v>0</v>
      </c>
      <c r="B1" s="2"/>
      <c r="C1" s="2"/>
      <c r="D1" s="2" t="s">
        <v>64</v>
      </c>
      <c r="E1" s="2"/>
      <c r="F1" s="2"/>
      <c r="G1" s="2"/>
    </row>
    <row r="2" spans="1:7">
      <c r="A2" s="1" t="s">
        <v>109</v>
      </c>
      <c r="B2" s="2"/>
      <c r="C2" s="2"/>
      <c r="D2" s="2"/>
      <c r="E2" s="2"/>
      <c r="F2" s="2"/>
      <c r="G2" s="2"/>
    </row>
    <row r="3" spans="1:7">
      <c r="A3" s="1" t="s">
        <v>110</v>
      </c>
      <c r="B3" s="2"/>
      <c r="C3" s="2"/>
      <c r="D3" s="2"/>
      <c r="E3" s="2"/>
      <c r="F3" s="2"/>
      <c r="G3" s="2"/>
    </row>
    <row r="4" spans="1:7">
      <c r="A4" s="3"/>
      <c r="B4" s="2"/>
      <c r="C4" s="2"/>
      <c r="D4" s="2"/>
      <c r="E4" s="2"/>
      <c r="F4" s="2"/>
      <c r="G4" s="2"/>
    </row>
    <row r="5" spans="1:7">
      <c r="A5" s="25" t="s">
        <v>59</v>
      </c>
      <c r="B5" s="2">
        <v>1967</v>
      </c>
      <c r="C5" s="2"/>
      <c r="D5" s="2"/>
      <c r="E5" s="2"/>
      <c r="F5" s="2"/>
      <c r="G5" s="2"/>
    </row>
    <row r="6" spans="1:7">
      <c r="A6" s="25" t="s">
        <v>60</v>
      </c>
      <c r="B6" s="2">
        <v>5</v>
      </c>
      <c r="C6" s="2"/>
      <c r="D6" s="2"/>
      <c r="E6" s="2"/>
      <c r="F6" s="2"/>
      <c r="G6" s="2"/>
    </row>
    <row r="7" spans="1:7">
      <c r="A7" s="25" t="s">
        <v>61</v>
      </c>
      <c r="B7" s="2">
        <v>4</v>
      </c>
      <c r="C7" s="2"/>
      <c r="D7" s="2"/>
      <c r="E7" s="2"/>
      <c r="F7" s="2"/>
      <c r="G7" s="2"/>
    </row>
    <row r="8" spans="1:7">
      <c r="A8" s="25" t="s">
        <v>62</v>
      </c>
      <c r="B8" s="2">
        <v>80</v>
      </c>
      <c r="C8" s="2"/>
      <c r="D8" s="2"/>
      <c r="E8" s="2"/>
      <c r="F8" s="2"/>
      <c r="G8" s="2"/>
    </row>
    <row r="9" spans="1:7">
      <c r="A9" s="25" t="s">
        <v>73</v>
      </c>
      <c r="B9" s="2">
        <v>3905.1</v>
      </c>
      <c r="C9" s="2"/>
      <c r="D9" s="2"/>
      <c r="E9" s="2"/>
      <c r="F9" s="2"/>
      <c r="G9" s="2"/>
    </row>
    <row r="10" spans="1:7">
      <c r="A10" s="25" t="s">
        <v>63</v>
      </c>
      <c r="B10" s="2">
        <v>296</v>
      </c>
      <c r="C10" s="2"/>
      <c r="D10" s="2"/>
      <c r="E10" s="2"/>
      <c r="F10" s="2"/>
      <c r="G10" s="2"/>
    </row>
    <row r="11" spans="1:7">
      <c r="A11" s="25" t="s">
        <v>74</v>
      </c>
      <c r="B11" s="2">
        <v>789.8</v>
      </c>
      <c r="C11" s="2"/>
      <c r="D11" s="2"/>
      <c r="E11" s="2"/>
      <c r="F11" s="2"/>
      <c r="G11" s="2"/>
    </row>
    <row r="12" spans="1:7" ht="45.75" customHeight="1">
      <c r="A12" s="40" t="s">
        <v>1</v>
      </c>
      <c r="B12" s="40" t="s">
        <v>2</v>
      </c>
      <c r="C12" s="40" t="s">
        <v>3</v>
      </c>
      <c r="D12" s="40" t="s">
        <v>4</v>
      </c>
      <c r="E12" s="142"/>
      <c r="F12" s="142"/>
      <c r="G12" s="142"/>
    </row>
    <row r="13" spans="1:7">
      <c r="A13" s="153" t="s">
        <v>5</v>
      </c>
      <c r="B13" s="154"/>
      <c r="C13" s="154"/>
      <c r="D13" s="155"/>
      <c r="E13" s="142"/>
      <c r="F13" s="142"/>
      <c r="G13" s="142"/>
    </row>
    <row r="14" spans="1:7" ht="87" customHeight="1">
      <c r="A14" s="6" t="s">
        <v>6</v>
      </c>
      <c r="B14" s="40" t="s">
        <v>7</v>
      </c>
      <c r="C14" s="38">
        <v>0.13</v>
      </c>
      <c r="D14" s="40">
        <f>C14*11*B9</f>
        <v>5584.2930000000006</v>
      </c>
      <c r="E14" s="142"/>
      <c r="F14" s="142"/>
      <c r="G14" s="142"/>
    </row>
    <row r="15" spans="1:7" ht="73.5" customHeight="1">
      <c r="A15" s="6" t="s">
        <v>8</v>
      </c>
      <c r="B15" s="40" t="s">
        <v>9</v>
      </c>
      <c r="C15" s="26">
        <v>2.0499999999999998</v>
      </c>
      <c r="D15" s="26">
        <f>C15*11*B9</f>
        <v>88060.00499999999</v>
      </c>
      <c r="E15" s="142"/>
      <c r="F15" s="143"/>
      <c r="G15" s="143"/>
    </row>
    <row r="16" spans="1:7">
      <c r="A16" s="6" t="s">
        <v>10</v>
      </c>
      <c r="B16" s="40"/>
      <c r="C16" s="26"/>
      <c r="D16" s="26"/>
      <c r="E16" s="142"/>
      <c r="F16" s="143"/>
      <c r="G16" s="143"/>
    </row>
    <row r="17" spans="1:7">
      <c r="A17" s="6" t="s">
        <v>111</v>
      </c>
      <c r="B17" s="40" t="s">
        <v>112</v>
      </c>
      <c r="C17" s="46">
        <v>3.6</v>
      </c>
      <c r="D17" s="26">
        <f>C17*11*B9</f>
        <v>154641.96</v>
      </c>
      <c r="E17" s="35"/>
      <c r="F17" s="36"/>
      <c r="G17" s="36"/>
    </row>
    <row r="18" spans="1:7" ht="12" customHeight="1">
      <c r="A18" s="124" t="s">
        <v>11</v>
      </c>
      <c r="B18" s="124"/>
      <c r="C18" s="124"/>
      <c r="D18" s="124"/>
      <c r="E18" s="142"/>
      <c r="F18" s="143"/>
      <c r="G18" s="143"/>
    </row>
    <row r="19" spans="1:7" ht="11.25" customHeight="1">
      <c r="A19" s="6" t="s">
        <v>12</v>
      </c>
      <c r="B19" s="40" t="s">
        <v>76</v>
      </c>
      <c r="C19" s="118">
        <v>2.16</v>
      </c>
      <c r="D19" s="118">
        <f>C19*11*B9</f>
        <v>92785.176000000007</v>
      </c>
      <c r="E19" s="142"/>
      <c r="F19" s="143"/>
      <c r="G19" s="143"/>
    </row>
    <row r="20" spans="1:7" ht="13.5" customHeight="1">
      <c r="A20" s="6" t="s">
        <v>13</v>
      </c>
      <c r="B20" s="40" t="s">
        <v>76</v>
      </c>
      <c r="C20" s="118"/>
      <c r="D20" s="118"/>
      <c r="E20" s="142"/>
      <c r="F20" s="143"/>
      <c r="G20" s="143"/>
    </row>
    <row r="21" spans="1:7" ht="12.75" customHeight="1">
      <c r="A21" s="6" t="s">
        <v>14</v>
      </c>
      <c r="B21" s="40" t="s">
        <v>76</v>
      </c>
      <c r="C21" s="118"/>
      <c r="D21" s="118"/>
      <c r="E21" s="142"/>
      <c r="F21" s="143"/>
      <c r="G21" s="143"/>
    </row>
    <row r="22" spans="1:7" ht="12" customHeight="1">
      <c r="A22" s="6" t="s">
        <v>15</v>
      </c>
      <c r="B22" s="40" t="s">
        <v>77</v>
      </c>
      <c r="C22" s="118"/>
      <c r="D22" s="118"/>
      <c r="E22" s="142"/>
      <c r="F22" s="143"/>
      <c r="G22" s="143"/>
    </row>
    <row r="23" spans="1:7" ht="24" customHeight="1">
      <c r="A23" s="6" t="s">
        <v>16</v>
      </c>
      <c r="B23" s="40" t="s">
        <v>95</v>
      </c>
      <c r="C23" s="118"/>
      <c r="D23" s="118"/>
      <c r="E23" s="142"/>
      <c r="F23" s="143"/>
      <c r="G23" s="143"/>
    </row>
    <row r="24" spans="1:7" ht="12" customHeight="1">
      <c r="A24" s="124" t="s">
        <v>17</v>
      </c>
      <c r="B24" s="124"/>
      <c r="C24" s="124"/>
      <c r="D24" s="124"/>
      <c r="E24" s="142"/>
      <c r="F24" s="143"/>
      <c r="G24" s="143"/>
    </row>
    <row r="25" spans="1:7" ht="12" customHeight="1">
      <c r="A25" s="7" t="s">
        <v>18</v>
      </c>
      <c r="B25" s="21" t="s">
        <v>79</v>
      </c>
      <c r="C25" s="118">
        <v>0.2</v>
      </c>
      <c r="D25" s="128">
        <f>C25*11*B9</f>
        <v>8591.2200000000012</v>
      </c>
    </row>
    <row r="26" spans="1:7" ht="12" customHeight="1">
      <c r="A26" s="7" t="s">
        <v>19</v>
      </c>
      <c r="B26" s="21" t="s">
        <v>78</v>
      </c>
      <c r="C26" s="118"/>
      <c r="D26" s="128"/>
    </row>
    <row r="27" spans="1:7" ht="12" customHeight="1">
      <c r="A27" s="124" t="s">
        <v>20</v>
      </c>
      <c r="B27" s="124"/>
      <c r="C27" s="124"/>
      <c r="D27" s="124"/>
      <c r="E27" s="142"/>
      <c r="F27" s="143"/>
      <c r="G27" s="143"/>
    </row>
    <row r="28" spans="1:7" ht="12" customHeight="1">
      <c r="A28" s="128" t="s">
        <v>21</v>
      </c>
      <c r="B28" s="128"/>
      <c r="C28" s="128"/>
      <c r="D28" s="128"/>
      <c r="E28" s="142"/>
      <c r="F28" s="143"/>
      <c r="G28" s="143"/>
    </row>
    <row r="29" spans="1:7" ht="41.25" customHeight="1">
      <c r="A29" s="8" t="s">
        <v>22</v>
      </c>
      <c r="B29" s="22" t="s">
        <v>80</v>
      </c>
      <c r="C29" s="118">
        <v>0.24</v>
      </c>
      <c r="D29" s="118">
        <f>C29*11*B9</f>
        <v>10309.463999999998</v>
      </c>
      <c r="E29" s="142"/>
      <c r="F29" s="143"/>
      <c r="G29" s="143"/>
    </row>
    <row r="30" spans="1:7" ht="14.25" customHeight="1">
      <c r="A30" s="9" t="s">
        <v>24</v>
      </c>
      <c r="B30" s="23" t="s">
        <v>81</v>
      </c>
      <c r="C30" s="118"/>
      <c r="D30" s="118"/>
      <c r="E30" s="142"/>
      <c r="F30" s="143"/>
      <c r="G30" s="143"/>
    </row>
    <row r="31" spans="1:7" ht="12" customHeight="1">
      <c r="A31" s="9" t="s">
        <v>26</v>
      </c>
      <c r="B31" s="23" t="s">
        <v>81</v>
      </c>
      <c r="C31" s="118"/>
      <c r="D31" s="118"/>
      <c r="E31" s="142"/>
      <c r="F31" s="143"/>
      <c r="G31" s="143"/>
    </row>
    <row r="32" spans="1:7" ht="42.75" customHeight="1">
      <c r="A32" s="9" t="s">
        <v>27</v>
      </c>
      <c r="B32" s="22" t="s">
        <v>80</v>
      </c>
      <c r="C32" s="118"/>
      <c r="D32" s="118"/>
      <c r="E32" s="142"/>
      <c r="F32" s="143"/>
      <c r="G32" s="143"/>
    </row>
    <row r="33" spans="1:7" ht="12" customHeight="1">
      <c r="A33" s="9" t="s">
        <v>28</v>
      </c>
      <c r="B33" s="22" t="s">
        <v>25</v>
      </c>
      <c r="C33" s="118"/>
      <c r="D33" s="118"/>
      <c r="E33" s="142"/>
      <c r="F33" s="143"/>
      <c r="G33" s="143"/>
    </row>
    <row r="34" spans="1:7" ht="42" customHeight="1">
      <c r="A34" s="10" t="s">
        <v>29</v>
      </c>
      <c r="B34" s="22" t="s">
        <v>80</v>
      </c>
      <c r="C34" s="118"/>
      <c r="D34" s="118"/>
      <c r="E34" s="142"/>
      <c r="F34" s="143"/>
      <c r="G34" s="143"/>
    </row>
    <row r="35" spans="1:7" ht="12" customHeight="1">
      <c r="A35" s="128" t="s">
        <v>30</v>
      </c>
      <c r="B35" s="128"/>
      <c r="C35" s="128"/>
      <c r="D35" s="128"/>
      <c r="E35" s="142"/>
      <c r="F35" s="143"/>
      <c r="G35" s="143"/>
    </row>
    <row r="36" spans="1:7" ht="39" customHeight="1">
      <c r="A36" s="9" t="s">
        <v>31</v>
      </c>
      <c r="B36" s="22" t="s">
        <v>80</v>
      </c>
      <c r="C36" s="118">
        <v>0.62</v>
      </c>
      <c r="D36" s="118">
        <f>C36*11*B9</f>
        <v>26632.781999999999</v>
      </c>
      <c r="E36" s="142"/>
      <c r="F36" s="143"/>
      <c r="G36" s="143"/>
    </row>
    <row r="37" spans="1:7" ht="34.5" customHeight="1">
      <c r="A37" s="9" t="s">
        <v>32</v>
      </c>
      <c r="B37" s="22" t="s">
        <v>80</v>
      </c>
      <c r="C37" s="118"/>
      <c r="D37" s="118"/>
      <c r="E37" s="142"/>
      <c r="F37" s="143"/>
      <c r="G37" s="143"/>
    </row>
    <row r="38" spans="1:7" ht="38.25" customHeight="1">
      <c r="A38" s="10" t="s">
        <v>33</v>
      </c>
      <c r="B38" s="22" t="s">
        <v>80</v>
      </c>
      <c r="C38" s="118"/>
      <c r="D38" s="118"/>
      <c r="E38" s="142"/>
      <c r="F38" s="143"/>
      <c r="G38" s="143"/>
    </row>
    <row r="39" spans="1:7" ht="12" customHeight="1">
      <c r="A39" s="128" t="s">
        <v>34</v>
      </c>
      <c r="B39" s="128"/>
      <c r="C39" s="128"/>
      <c r="D39" s="128"/>
      <c r="E39" s="142"/>
      <c r="F39" s="143"/>
      <c r="G39" s="143"/>
    </row>
    <row r="40" spans="1:7" ht="26.25" customHeight="1">
      <c r="A40" s="9" t="s">
        <v>35</v>
      </c>
      <c r="B40" s="22" t="s">
        <v>113</v>
      </c>
      <c r="C40" s="118">
        <v>1.35</v>
      </c>
      <c r="D40" s="118">
        <f>C40*11*B9</f>
        <v>57990.735000000001</v>
      </c>
      <c r="E40" s="142"/>
      <c r="F40" s="143"/>
      <c r="G40" s="143"/>
    </row>
    <row r="41" spans="1:7" ht="15" customHeight="1">
      <c r="A41" s="9" t="s">
        <v>36</v>
      </c>
      <c r="B41" s="22" t="s">
        <v>114</v>
      </c>
      <c r="C41" s="118"/>
      <c r="D41" s="118"/>
      <c r="E41" s="142"/>
      <c r="F41" s="143"/>
      <c r="G41" s="143"/>
    </row>
    <row r="42" spans="1:7" ht="14.25" customHeight="1">
      <c r="A42" s="9" t="s">
        <v>37</v>
      </c>
      <c r="B42" s="22" t="s">
        <v>85</v>
      </c>
      <c r="C42" s="118"/>
      <c r="D42" s="118"/>
      <c r="E42" s="142"/>
      <c r="F42" s="143"/>
      <c r="G42" s="143"/>
    </row>
    <row r="43" spans="1:7" ht="33" customHeight="1">
      <c r="A43" s="9" t="s">
        <v>38</v>
      </c>
      <c r="B43" s="22" t="s">
        <v>83</v>
      </c>
      <c r="C43" s="118"/>
      <c r="D43" s="118"/>
      <c r="E43" s="142"/>
      <c r="F43" s="143"/>
      <c r="G43" s="143"/>
    </row>
    <row r="44" spans="1:7" ht="27" customHeight="1">
      <c r="A44" s="9" t="s">
        <v>39</v>
      </c>
      <c r="B44" s="22" t="s">
        <v>83</v>
      </c>
      <c r="C44" s="118"/>
      <c r="D44" s="118"/>
      <c r="E44" s="142"/>
      <c r="F44" s="143"/>
      <c r="G44" s="143"/>
    </row>
    <row r="45" spans="1:7" ht="13.5" customHeight="1">
      <c r="A45" s="39" t="s">
        <v>40</v>
      </c>
      <c r="B45" s="6"/>
      <c r="C45" s="118"/>
      <c r="D45" s="118"/>
      <c r="E45" s="142"/>
      <c r="F45" s="143"/>
      <c r="G45" s="143"/>
    </row>
    <row r="46" spans="1:7" ht="42" customHeight="1">
      <c r="A46" s="9" t="s">
        <v>41</v>
      </c>
      <c r="B46" s="22" t="s">
        <v>80</v>
      </c>
      <c r="C46" s="118"/>
      <c r="D46" s="118"/>
      <c r="E46" s="4"/>
      <c r="F46" s="4"/>
      <c r="G46" s="4"/>
    </row>
    <row r="47" spans="1:7" ht="14.25" customHeight="1">
      <c r="A47" s="9" t="s">
        <v>42</v>
      </c>
      <c r="B47" s="22" t="s">
        <v>25</v>
      </c>
      <c r="C47" s="118"/>
      <c r="D47" s="118"/>
      <c r="E47" s="4"/>
      <c r="F47" s="4"/>
      <c r="G47" s="4"/>
    </row>
    <row r="48" spans="1:7" ht="15" customHeight="1">
      <c r="A48" s="9" t="s">
        <v>43</v>
      </c>
      <c r="B48" s="23" t="s">
        <v>25</v>
      </c>
      <c r="C48" s="118"/>
      <c r="D48" s="118"/>
      <c r="E48" s="4"/>
      <c r="F48" s="4"/>
      <c r="G48" s="4"/>
    </row>
    <row r="49" spans="1:7" ht="15.75" customHeight="1">
      <c r="A49" s="9" t="s">
        <v>44</v>
      </c>
      <c r="B49" s="23" t="s">
        <v>25</v>
      </c>
      <c r="C49" s="118"/>
      <c r="D49" s="118"/>
      <c r="E49" s="4"/>
      <c r="F49" s="4"/>
      <c r="G49" s="4"/>
    </row>
    <row r="50" spans="1:7" ht="18.75" customHeight="1">
      <c r="A50" s="9" t="s">
        <v>45</v>
      </c>
      <c r="B50" s="21" t="s">
        <v>115</v>
      </c>
      <c r="C50" s="118"/>
      <c r="D50" s="118"/>
      <c r="E50" s="5"/>
      <c r="F50" s="4"/>
      <c r="G50" s="4"/>
    </row>
    <row r="51" spans="1:7" ht="42" customHeight="1">
      <c r="A51" s="10" t="s">
        <v>46</v>
      </c>
      <c r="B51" s="22" t="s">
        <v>80</v>
      </c>
      <c r="C51" s="118"/>
      <c r="D51" s="118"/>
      <c r="E51" s="5"/>
      <c r="F51" s="4"/>
      <c r="G51" s="4"/>
    </row>
    <row r="52" spans="1:7" ht="12" customHeight="1">
      <c r="A52" s="128" t="s">
        <v>47</v>
      </c>
      <c r="B52" s="128"/>
      <c r="C52" s="128"/>
      <c r="D52" s="128"/>
      <c r="E52" s="142"/>
      <c r="F52" s="142"/>
      <c r="G52" s="142"/>
    </row>
    <row r="53" spans="1:7" ht="12" customHeight="1">
      <c r="A53" s="9" t="s">
        <v>48</v>
      </c>
      <c r="B53" s="22" t="s">
        <v>84</v>
      </c>
      <c r="C53" s="118">
        <v>0.24</v>
      </c>
      <c r="D53" s="118">
        <f>C53*11*B9+269.1</f>
        <v>10578.563999999998</v>
      </c>
      <c r="E53" s="142"/>
      <c r="F53" s="143"/>
      <c r="G53" s="143"/>
    </row>
    <row r="54" spans="1:7" ht="15" customHeight="1">
      <c r="A54" s="9" t="s">
        <v>49</v>
      </c>
      <c r="B54" s="22" t="s">
        <v>84</v>
      </c>
      <c r="C54" s="118"/>
      <c r="D54" s="118"/>
      <c r="E54" s="142"/>
      <c r="F54" s="143"/>
      <c r="G54" s="143"/>
    </row>
    <row r="55" spans="1:7" ht="28.5" customHeight="1">
      <c r="A55" s="9" t="s">
        <v>50</v>
      </c>
      <c r="B55" s="22" t="s">
        <v>85</v>
      </c>
      <c r="C55" s="118"/>
      <c r="D55" s="118"/>
      <c r="E55" s="142"/>
      <c r="F55" s="143"/>
      <c r="G55" s="143"/>
    </row>
    <row r="56" spans="1:7" ht="12" customHeight="1">
      <c r="A56" s="9" t="s">
        <v>51</v>
      </c>
      <c r="B56" s="22" t="s">
        <v>107</v>
      </c>
      <c r="C56" s="118"/>
      <c r="D56" s="118"/>
      <c r="E56" s="142"/>
      <c r="F56" s="143"/>
      <c r="G56" s="143"/>
    </row>
    <row r="57" spans="1:7" ht="36.75" customHeight="1">
      <c r="A57" s="10" t="s">
        <v>52</v>
      </c>
      <c r="B57" s="22" t="s">
        <v>80</v>
      </c>
      <c r="C57" s="118"/>
      <c r="D57" s="118"/>
      <c r="E57" s="142"/>
      <c r="F57" s="143"/>
      <c r="G57" s="143"/>
    </row>
    <row r="58" spans="1:7" ht="13.5" customHeight="1">
      <c r="A58" s="10" t="s">
        <v>53</v>
      </c>
      <c r="B58" s="23" t="s">
        <v>85</v>
      </c>
      <c r="C58" s="118"/>
      <c r="D58" s="118"/>
      <c r="E58" s="142"/>
      <c r="F58" s="143"/>
      <c r="G58" s="143"/>
    </row>
    <row r="59" spans="1:7" ht="15" customHeight="1">
      <c r="A59" s="124" t="s">
        <v>54</v>
      </c>
      <c r="B59" s="124"/>
      <c r="C59" s="124"/>
      <c r="D59" s="124"/>
      <c r="E59" s="142"/>
      <c r="F59" s="143"/>
      <c r="G59" s="143"/>
    </row>
    <row r="60" spans="1:7" ht="34.5" customHeight="1">
      <c r="A60" s="147" t="s">
        <v>55</v>
      </c>
      <c r="B60" s="141" t="s">
        <v>87</v>
      </c>
      <c r="C60" s="118">
        <v>2.41</v>
      </c>
      <c r="D60" s="118">
        <f>C60*11*B9</f>
        <v>103524.201</v>
      </c>
      <c r="E60" s="142"/>
      <c r="F60" s="143"/>
      <c r="G60" s="143"/>
    </row>
    <row r="61" spans="1:7" ht="15" customHeight="1">
      <c r="A61" s="148"/>
      <c r="B61" s="141"/>
      <c r="C61" s="118"/>
      <c r="D61" s="118"/>
      <c r="E61" s="142"/>
      <c r="F61" s="143"/>
      <c r="G61" s="143"/>
    </row>
    <row r="62" spans="1:7" ht="12.75" customHeight="1">
      <c r="A62" s="39" t="s">
        <v>56</v>
      </c>
      <c r="B62" s="21"/>
      <c r="C62" s="37"/>
      <c r="D62" s="37"/>
      <c r="E62" s="142"/>
      <c r="F62" s="143"/>
      <c r="G62" s="143"/>
    </row>
    <row r="63" spans="1:7" ht="16.5" customHeight="1">
      <c r="A63" s="6" t="s">
        <v>91</v>
      </c>
      <c r="B63" s="21" t="s">
        <v>88</v>
      </c>
      <c r="C63" s="131">
        <v>2.14</v>
      </c>
      <c r="D63" s="133">
        <v>91970.38</v>
      </c>
    </row>
    <row r="64" spans="1:7">
      <c r="A64" s="6" t="s">
        <v>92</v>
      </c>
      <c r="B64" s="21" t="s">
        <v>88</v>
      </c>
      <c r="C64" s="132"/>
      <c r="D64" s="134"/>
    </row>
    <row r="65" spans="1:7" ht="15" customHeight="1">
      <c r="A65" s="6" t="s">
        <v>93</v>
      </c>
      <c r="B65" s="21" t="s">
        <v>88</v>
      </c>
      <c r="C65" s="130"/>
      <c r="D65" s="135"/>
    </row>
    <row r="66" spans="1:7" ht="39" customHeight="1">
      <c r="A66" s="6" t="s">
        <v>165</v>
      </c>
      <c r="B66" s="22" t="s">
        <v>80</v>
      </c>
      <c r="C66" s="37">
        <v>4.22</v>
      </c>
      <c r="D66" s="37">
        <v>179187.45</v>
      </c>
      <c r="E66" s="142"/>
      <c r="F66" s="143"/>
      <c r="G66" s="143"/>
    </row>
    <row r="67" spans="1:7" ht="12" customHeight="1">
      <c r="A67" s="39" t="s">
        <v>57</v>
      </c>
      <c r="B67" s="23"/>
      <c r="C67" s="28">
        <f>C66+C63+C60+C53+C40+C36+C29+C25+C19+C17+C15+C14</f>
        <v>19.36</v>
      </c>
      <c r="D67" s="28">
        <f>D66+D63+D60+D53+D40+D36+D29+D25+D19+D17+D15+D14</f>
        <v>829856.22999999986</v>
      </c>
      <c r="E67" s="142">
        <f>C67*11*B9</f>
        <v>831630.0959999999</v>
      </c>
      <c r="F67" s="143"/>
      <c r="G67" s="143"/>
    </row>
    <row r="68" spans="1:7">
      <c r="A68" s="36"/>
      <c r="B68" s="36"/>
      <c r="C68" s="36"/>
      <c r="D68" s="36"/>
      <c r="E68" s="36"/>
      <c r="F68" s="36"/>
      <c r="G68" s="36"/>
    </row>
    <row r="69" spans="1:7">
      <c r="A69" s="15"/>
      <c r="B69" s="16"/>
      <c r="C69" s="17"/>
      <c r="D69" s="17"/>
      <c r="E69" s="18"/>
      <c r="F69" s="18"/>
      <c r="G69" s="16"/>
    </row>
    <row r="70" spans="1:7" ht="17.25" customHeight="1">
      <c r="A70" s="15"/>
      <c r="B70" s="16"/>
      <c r="C70" s="146"/>
      <c r="D70" s="144"/>
      <c r="E70" s="146"/>
      <c r="F70" s="146"/>
      <c r="G70" s="16"/>
    </row>
    <row r="71" spans="1:7" ht="17.25" customHeight="1">
      <c r="A71" s="15"/>
      <c r="B71" s="16"/>
      <c r="C71" s="145"/>
      <c r="D71" s="145"/>
      <c r="E71" s="145"/>
      <c r="F71" s="145"/>
      <c r="G71" s="16"/>
    </row>
    <row r="72" spans="1:7" ht="17.25" customHeight="1">
      <c r="A72" s="19"/>
      <c r="B72" s="12"/>
      <c r="C72" s="13"/>
      <c r="D72" s="47"/>
      <c r="E72" s="13"/>
      <c r="F72" s="20"/>
      <c r="G72" s="14"/>
    </row>
    <row r="73" spans="1:7" ht="17.25" customHeight="1">
      <c r="A73" s="19"/>
      <c r="B73" s="12"/>
      <c r="C73" s="13"/>
      <c r="D73" s="13"/>
      <c r="E73" s="13"/>
      <c r="F73" s="13"/>
      <c r="G73" s="14"/>
    </row>
    <row r="74" spans="1:7" ht="17.25" customHeight="1">
      <c r="A74" s="19"/>
      <c r="B74" s="12"/>
      <c r="C74" s="13"/>
      <c r="D74" s="13"/>
      <c r="E74" s="13"/>
      <c r="F74" s="13"/>
      <c r="G74" s="14"/>
    </row>
    <row r="75" spans="1:7">
      <c r="A75" s="19"/>
      <c r="B75" s="12"/>
      <c r="C75" s="13"/>
      <c r="D75" s="13"/>
      <c r="E75" s="13"/>
      <c r="F75" s="13"/>
      <c r="G75" s="14"/>
    </row>
    <row r="76" spans="1:7">
      <c r="A76" s="19"/>
      <c r="B76" s="12"/>
      <c r="C76" s="13"/>
      <c r="D76" s="13"/>
      <c r="E76" s="13"/>
      <c r="F76" s="13"/>
      <c r="G76" s="14"/>
    </row>
    <row r="77" spans="1:7">
      <c r="A77" s="19"/>
      <c r="B77" s="12"/>
      <c r="C77" s="13"/>
      <c r="D77" s="13"/>
      <c r="E77" s="13"/>
      <c r="F77" s="13"/>
      <c r="G77" s="14"/>
    </row>
    <row r="78" spans="1:7">
      <c r="A78" s="19"/>
      <c r="B78" s="12"/>
      <c r="C78" s="13"/>
      <c r="D78" s="13"/>
      <c r="E78" s="13"/>
      <c r="F78" s="13"/>
      <c r="G78" s="14"/>
    </row>
    <row r="79" spans="1:7">
      <c r="A79" s="19"/>
      <c r="B79" s="12"/>
      <c r="C79" s="13"/>
      <c r="D79" s="13"/>
      <c r="E79" s="13"/>
      <c r="F79" s="13"/>
      <c r="G79" s="14"/>
    </row>
    <row r="80" spans="1:7">
      <c r="A80" s="11"/>
      <c r="B80" s="12"/>
      <c r="C80" s="13"/>
      <c r="D80" s="13"/>
      <c r="E80" s="13"/>
      <c r="F80" s="13"/>
      <c r="G80" s="14"/>
    </row>
  </sheetData>
  <mergeCells count="75">
    <mergeCell ref="E62:G62"/>
    <mergeCell ref="E66:G66"/>
    <mergeCell ref="E67:G67"/>
    <mergeCell ref="C70:C71"/>
    <mergeCell ref="D70:D71"/>
    <mergeCell ref="E70:E71"/>
    <mergeCell ref="F70:F71"/>
    <mergeCell ref="C63:C65"/>
    <mergeCell ref="D63:D65"/>
    <mergeCell ref="A59:D59"/>
    <mergeCell ref="E59:G59"/>
    <mergeCell ref="B60:B61"/>
    <mergeCell ref="C60:C61"/>
    <mergeCell ref="D60:D61"/>
    <mergeCell ref="E60:G60"/>
    <mergeCell ref="E61:G61"/>
    <mergeCell ref="A60:A61"/>
    <mergeCell ref="A52:D52"/>
    <mergeCell ref="E52:G52"/>
    <mergeCell ref="C53:C58"/>
    <mergeCell ref="D53:D58"/>
    <mergeCell ref="E53:G53"/>
    <mergeCell ref="E54:G54"/>
    <mergeCell ref="E55:G55"/>
    <mergeCell ref="E56:G56"/>
    <mergeCell ref="E57:G57"/>
    <mergeCell ref="E58:G58"/>
    <mergeCell ref="A39:D39"/>
    <mergeCell ref="E39:G39"/>
    <mergeCell ref="C40:C51"/>
    <mergeCell ref="D40:D51"/>
    <mergeCell ref="E40:G40"/>
    <mergeCell ref="E41:G41"/>
    <mergeCell ref="E42:G42"/>
    <mergeCell ref="E43:G43"/>
    <mergeCell ref="E44:G44"/>
    <mergeCell ref="E45:G45"/>
    <mergeCell ref="A35:D35"/>
    <mergeCell ref="E35:G35"/>
    <mergeCell ref="C36:C38"/>
    <mergeCell ref="D36:D38"/>
    <mergeCell ref="E36:G36"/>
    <mergeCell ref="E37:G37"/>
    <mergeCell ref="E38:G38"/>
    <mergeCell ref="A27:D27"/>
    <mergeCell ref="E27:G27"/>
    <mergeCell ref="A28:D28"/>
    <mergeCell ref="E28:G28"/>
    <mergeCell ref="C29:C34"/>
    <mergeCell ref="D29:D34"/>
    <mergeCell ref="E29:G29"/>
    <mergeCell ref="E30:G30"/>
    <mergeCell ref="E31:G31"/>
    <mergeCell ref="E32:G32"/>
    <mergeCell ref="E33:G33"/>
    <mergeCell ref="E34:G34"/>
    <mergeCell ref="A24:D24"/>
    <mergeCell ref="E24:G24"/>
    <mergeCell ref="C25:C26"/>
    <mergeCell ref="D25:D26"/>
    <mergeCell ref="A18:D18"/>
    <mergeCell ref="E18:G18"/>
    <mergeCell ref="C19:C23"/>
    <mergeCell ref="D19:D23"/>
    <mergeCell ref="E19:G19"/>
    <mergeCell ref="E20:G20"/>
    <mergeCell ref="E21:G21"/>
    <mergeCell ref="E22:G22"/>
    <mergeCell ref="E23:G23"/>
    <mergeCell ref="E16:G16"/>
    <mergeCell ref="E12:G12"/>
    <mergeCell ref="A13:D13"/>
    <mergeCell ref="E13:G13"/>
    <mergeCell ref="E14:G14"/>
    <mergeCell ref="E15:G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80"/>
  <sheetViews>
    <sheetView topLeftCell="A58" workbookViewId="0">
      <selection activeCell="A79" sqref="A79"/>
    </sheetView>
  </sheetViews>
  <sheetFormatPr defaultRowHeight="15"/>
  <cols>
    <col min="1" max="1" width="91.7109375" customWidth="1"/>
    <col min="2" max="2" width="13" customWidth="1"/>
    <col min="3" max="3" width="10" style="109" customWidth="1"/>
    <col min="4" max="4" width="12" style="109" customWidth="1"/>
  </cols>
  <sheetData>
    <row r="1" spans="1:4">
      <c r="A1" s="1" t="s">
        <v>0</v>
      </c>
      <c r="B1" s="2"/>
      <c r="C1" s="43"/>
      <c r="D1" s="43" t="s">
        <v>65</v>
      </c>
    </row>
    <row r="2" spans="1:4">
      <c r="A2" s="1" t="s">
        <v>103</v>
      </c>
      <c r="B2" s="2"/>
      <c r="C2" s="43"/>
      <c r="D2" s="43"/>
    </row>
    <row r="3" spans="1:4">
      <c r="A3" s="1" t="s">
        <v>75</v>
      </c>
      <c r="B3" s="2"/>
      <c r="C3" s="43"/>
      <c r="D3" s="43"/>
    </row>
    <row r="4" spans="1:4">
      <c r="A4" s="25" t="s">
        <v>59</v>
      </c>
      <c r="B4" s="2">
        <v>1971</v>
      </c>
      <c r="C4" s="43"/>
      <c r="D4" s="43"/>
    </row>
    <row r="5" spans="1:4">
      <c r="A5" s="25" t="s">
        <v>60</v>
      </c>
      <c r="B5" s="2">
        <v>5</v>
      </c>
      <c r="C5" s="43"/>
      <c r="D5" s="43"/>
    </row>
    <row r="6" spans="1:4">
      <c r="A6" s="25" t="s">
        <v>61</v>
      </c>
      <c r="B6" s="2">
        <v>2</v>
      </c>
      <c r="C6" s="43"/>
      <c r="D6" s="43"/>
    </row>
    <row r="7" spans="1:4">
      <c r="A7" s="25" t="s">
        <v>62</v>
      </c>
      <c r="B7" s="2">
        <v>40</v>
      </c>
      <c r="C7" s="43"/>
      <c r="D7" s="43"/>
    </row>
    <row r="8" spans="1:4">
      <c r="A8" s="25" t="s">
        <v>73</v>
      </c>
      <c r="B8" s="2">
        <v>1750</v>
      </c>
      <c r="C8" s="43"/>
      <c r="D8" s="43"/>
    </row>
    <row r="9" spans="1:4">
      <c r="A9" s="25" t="s">
        <v>63</v>
      </c>
      <c r="B9" s="2">
        <v>146.30000000000001</v>
      </c>
      <c r="C9" s="43"/>
      <c r="D9" s="43"/>
    </row>
    <row r="10" spans="1:4">
      <c r="A10" s="25" t="s">
        <v>74</v>
      </c>
      <c r="B10" s="2">
        <v>375.3</v>
      </c>
      <c r="C10" s="43"/>
      <c r="D10" s="43"/>
    </row>
    <row r="11" spans="1:4" ht="36.75">
      <c r="A11" s="40" t="s">
        <v>1</v>
      </c>
      <c r="B11" s="40" t="s">
        <v>2</v>
      </c>
      <c r="C11" s="103" t="s">
        <v>3</v>
      </c>
      <c r="D11" s="103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40" t="s">
        <v>7</v>
      </c>
      <c r="C13" s="97">
        <v>0.14000000000000001</v>
      </c>
      <c r="D13" s="29">
        <f>C13*B8*8</f>
        <v>1960.0000000000002</v>
      </c>
    </row>
    <row r="14" spans="1:4" ht="75.75" customHeight="1">
      <c r="A14" s="6" t="s">
        <v>90</v>
      </c>
      <c r="B14" s="40" t="s">
        <v>9</v>
      </c>
      <c r="C14" s="26">
        <v>2.34</v>
      </c>
      <c r="D14" s="29">
        <f>C14*B8*8</f>
        <v>32759.999999999996</v>
      </c>
    </row>
    <row r="15" spans="1:4">
      <c r="A15" s="6" t="s">
        <v>10</v>
      </c>
      <c r="B15" s="40"/>
      <c r="C15" s="26"/>
      <c r="D15" s="30"/>
    </row>
    <row r="16" spans="1:4" ht="16.5" customHeight="1">
      <c r="A16" s="7" t="s">
        <v>105</v>
      </c>
      <c r="B16" s="21" t="s">
        <v>106</v>
      </c>
      <c r="C16" s="27">
        <v>2.23</v>
      </c>
      <c r="D16" s="29">
        <f>C16*B8*8</f>
        <v>31220</v>
      </c>
    </row>
    <row r="17" spans="1:4">
      <c r="A17" s="124" t="s">
        <v>11</v>
      </c>
      <c r="B17" s="124"/>
      <c r="C17" s="124"/>
      <c r="D17" s="124"/>
    </row>
    <row r="18" spans="1:4" ht="13.5" customHeight="1">
      <c r="A18" s="41" t="s">
        <v>98</v>
      </c>
      <c r="B18" s="39"/>
      <c r="C18" s="101"/>
      <c r="D18" s="101"/>
    </row>
    <row r="19" spans="1:4" ht="13.5" customHeight="1">
      <c r="A19" s="6" t="s">
        <v>12</v>
      </c>
      <c r="B19" s="40" t="s">
        <v>76</v>
      </c>
      <c r="C19" s="118">
        <v>2.16</v>
      </c>
      <c r="D19" s="125">
        <f>C19*B8*8</f>
        <v>30240.000000000004</v>
      </c>
    </row>
    <row r="20" spans="1:4" ht="12.75" customHeight="1">
      <c r="A20" s="6" t="s">
        <v>13</v>
      </c>
      <c r="B20" s="40" t="s">
        <v>76</v>
      </c>
      <c r="C20" s="118"/>
      <c r="D20" s="126"/>
    </row>
    <row r="21" spans="1:4" ht="14.25" customHeight="1">
      <c r="A21" s="6" t="s">
        <v>14</v>
      </c>
      <c r="B21" s="40" t="s">
        <v>76</v>
      </c>
      <c r="C21" s="118"/>
      <c r="D21" s="126"/>
    </row>
    <row r="22" spans="1:4" ht="13.5" customHeight="1">
      <c r="A22" s="6" t="s">
        <v>15</v>
      </c>
      <c r="B22" s="40" t="s">
        <v>77</v>
      </c>
      <c r="C22" s="118"/>
      <c r="D22" s="126"/>
    </row>
    <row r="23" spans="1:4" ht="12.75" customHeight="1">
      <c r="A23" s="41" t="s">
        <v>94</v>
      </c>
      <c r="B23" s="40"/>
      <c r="C23" s="118"/>
      <c r="D23" s="126"/>
    </row>
    <row r="24" spans="1:4" ht="30" customHeight="1">
      <c r="A24" s="6" t="s">
        <v>16</v>
      </c>
      <c r="B24" s="40" t="s">
        <v>95</v>
      </c>
      <c r="C24" s="118"/>
      <c r="D24" s="127"/>
    </row>
    <row r="25" spans="1:4" ht="12.75" customHeight="1">
      <c r="A25" s="121" t="s">
        <v>17</v>
      </c>
      <c r="B25" s="122"/>
      <c r="C25" s="122"/>
      <c r="D25" s="123"/>
    </row>
    <row r="26" spans="1:4" ht="12" customHeight="1">
      <c r="A26" s="7" t="s">
        <v>18</v>
      </c>
      <c r="B26" s="21" t="s">
        <v>79</v>
      </c>
      <c r="C26" s="118">
        <v>0.2</v>
      </c>
      <c r="D26" s="128">
        <f>C26*B8*8</f>
        <v>2800</v>
      </c>
    </row>
    <row r="27" spans="1:4" ht="12" customHeight="1">
      <c r="A27" s="7" t="s">
        <v>19</v>
      </c>
      <c r="B27" s="21" t="s">
        <v>78</v>
      </c>
      <c r="C27" s="118"/>
      <c r="D27" s="128"/>
    </row>
    <row r="28" spans="1:4" ht="13.5" customHeight="1">
      <c r="A28" s="121" t="s">
        <v>20</v>
      </c>
      <c r="B28" s="122"/>
      <c r="C28" s="122"/>
      <c r="D28" s="123"/>
    </row>
    <row r="29" spans="1:4">
      <c r="A29" s="128" t="s">
        <v>21</v>
      </c>
      <c r="B29" s="128"/>
      <c r="C29" s="128"/>
      <c r="D29" s="128"/>
    </row>
    <row r="30" spans="1:4" ht="37.5" customHeight="1">
      <c r="A30" s="8" t="s">
        <v>22</v>
      </c>
      <c r="B30" s="22" t="s">
        <v>80</v>
      </c>
      <c r="C30" s="118">
        <v>0.61</v>
      </c>
      <c r="D30" s="117">
        <f>C30*B8*8</f>
        <v>8540</v>
      </c>
    </row>
    <row r="31" spans="1:4" ht="15" customHeight="1">
      <c r="A31" s="9" t="s">
        <v>24</v>
      </c>
      <c r="B31" s="23" t="s">
        <v>81</v>
      </c>
      <c r="C31" s="118"/>
      <c r="D31" s="126"/>
    </row>
    <row r="32" spans="1:4" ht="13.5" customHeight="1">
      <c r="A32" s="9" t="s">
        <v>26</v>
      </c>
      <c r="B32" s="23" t="s">
        <v>81</v>
      </c>
      <c r="C32" s="118"/>
      <c r="D32" s="126"/>
    </row>
    <row r="33" spans="1:4" ht="36" customHeight="1">
      <c r="A33" s="9" t="s">
        <v>27</v>
      </c>
      <c r="B33" s="22" t="s">
        <v>23</v>
      </c>
      <c r="C33" s="118"/>
      <c r="D33" s="126"/>
    </row>
    <row r="34" spans="1:4" ht="14.25" customHeight="1">
      <c r="A34" s="9" t="s">
        <v>28</v>
      </c>
      <c r="B34" s="22" t="s">
        <v>81</v>
      </c>
      <c r="C34" s="118"/>
      <c r="D34" s="126"/>
    </row>
    <row r="35" spans="1:4" ht="33.75" customHeight="1">
      <c r="A35" s="24" t="s">
        <v>29</v>
      </c>
      <c r="B35" s="22" t="s">
        <v>23</v>
      </c>
      <c r="C35" s="129"/>
      <c r="D35" s="127"/>
    </row>
    <row r="36" spans="1:4" ht="15.75" customHeight="1">
      <c r="A36" s="128" t="s">
        <v>66</v>
      </c>
      <c r="B36" s="128"/>
      <c r="C36" s="128"/>
      <c r="D36" s="128"/>
    </row>
    <row r="37" spans="1:4" ht="36.75" customHeight="1">
      <c r="A37" s="9" t="s">
        <v>67</v>
      </c>
      <c r="B37" s="22" t="s">
        <v>80</v>
      </c>
      <c r="C37" s="117">
        <v>1</v>
      </c>
      <c r="D37" s="118">
        <f>C37*B8*8</f>
        <v>14000</v>
      </c>
    </row>
    <row r="38" spans="1:4" ht="14.25" customHeight="1">
      <c r="A38" s="9" t="s">
        <v>68</v>
      </c>
      <c r="B38" s="22" t="s">
        <v>81</v>
      </c>
      <c r="C38" s="117"/>
      <c r="D38" s="119"/>
    </row>
    <row r="39" spans="1:4" ht="14.25" customHeight="1">
      <c r="A39" s="9" t="s">
        <v>69</v>
      </c>
      <c r="B39" s="22" t="s">
        <v>81</v>
      </c>
      <c r="C39" s="117"/>
      <c r="D39" s="119"/>
    </row>
    <row r="40" spans="1:4" ht="24" customHeight="1">
      <c r="A40" s="9" t="s">
        <v>70</v>
      </c>
      <c r="B40" s="22" t="s">
        <v>80</v>
      </c>
      <c r="C40" s="117"/>
      <c r="D40" s="119"/>
    </row>
    <row r="41" spans="1:4" ht="25.5" customHeight="1">
      <c r="A41" s="10" t="s">
        <v>71</v>
      </c>
      <c r="B41" s="22" t="s">
        <v>80</v>
      </c>
      <c r="C41" s="117"/>
      <c r="D41" s="119"/>
    </row>
    <row r="42" spans="1:4" ht="14.25" customHeight="1">
      <c r="A42" s="9" t="s">
        <v>72</v>
      </c>
      <c r="B42" s="22" t="s">
        <v>81</v>
      </c>
      <c r="C42" s="117"/>
      <c r="D42" s="120"/>
    </row>
    <row r="43" spans="1:4" ht="11.25" customHeight="1">
      <c r="A43" s="130" t="s">
        <v>30</v>
      </c>
      <c r="B43" s="130"/>
      <c r="C43" s="130"/>
      <c r="D43" s="130"/>
    </row>
    <row r="44" spans="1:4" ht="35.25" customHeight="1">
      <c r="A44" s="9" t="s">
        <v>31</v>
      </c>
      <c r="B44" s="22" t="s">
        <v>23</v>
      </c>
      <c r="C44" s="117">
        <v>0.7</v>
      </c>
      <c r="D44" s="118">
        <f>C44*B8*8</f>
        <v>9800</v>
      </c>
    </row>
    <row r="45" spans="1:4" ht="38.25" customHeight="1">
      <c r="A45" s="9" t="s">
        <v>32</v>
      </c>
      <c r="B45" s="22" t="s">
        <v>23</v>
      </c>
      <c r="C45" s="117"/>
      <c r="D45" s="118"/>
    </row>
    <row r="46" spans="1:4" ht="15" customHeight="1">
      <c r="A46" s="10" t="s">
        <v>33</v>
      </c>
      <c r="B46" s="22" t="s">
        <v>23</v>
      </c>
      <c r="C46" s="117"/>
      <c r="D46" s="118"/>
    </row>
    <row r="47" spans="1:4" ht="12.75" customHeight="1">
      <c r="A47" s="128" t="s">
        <v>34</v>
      </c>
      <c r="B47" s="128"/>
      <c r="C47" s="128"/>
      <c r="D47" s="128"/>
    </row>
    <row r="48" spans="1:4" ht="29.25" customHeight="1">
      <c r="A48" s="22" t="s">
        <v>35</v>
      </c>
      <c r="B48" s="22" t="s">
        <v>78</v>
      </c>
      <c r="C48" s="117">
        <v>1.59</v>
      </c>
      <c r="D48" s="117">
        <f>C48*B8*8-30.04+1.04</f>
        <v>22231</v>
      </c>
    </row>
    <row r="49" spans="1:4" ht="14.25" customHeight="1">
      <c r="A49" s="9" t="s">
        <v>36</v>
      </c>
      <c r="B49" s="22" t="s">
        <v>107</v>
      </c>
      <c r="C49" s="117"/>
      <c r="D49" s="117"/>
    </row>
    <row r="50" spans="1:4" ht="17.25" customHeight="1">
      <c r="A50" s="9" t="s">
        <v>37</v>
      </c>
      <c r="B50" s="22" t="s">
        <v>107</v>
      </c>
      <c r="C50" s="117"/>
      <c r="D50" s="117"/>
    </row>
    <row r="51" spans="1:4" ht="24.75" customHeight="1">
      <c r="A51" s="9" t="s">
        <v>38</v>
      </c>
      <c r="B51" s="22" t="s">
        <v>83</v>
      </c>
      <c r="C51" s="117"/>
      <c r="D51" s="117"/>
    </row>
    <row r="52" spans="1:4" ht="30" customHeight="1">
      <c r="A52" s="9" t="s">
        <v>39</v>
      </c>
      <c r="B52" s="22" t="s">
        <v>83</v>
      </c>
      <c r="C52" s="117"/>
      <c r="D52" s="117"/>
    </row>
    <row r="53" spans="1:4" ht="12.75" customHeight="1">
      <c r="A53" s="39" t="s">
        <v>96</v>
      </c>
      <c r="B53" s="6"/>
      <c r="C53" s="117"/>
      <c r="D53" s="117"/>
    </row>
    <row r="54" spans="1:4" ht="35.25" customHeight="1">
      <c r="A54" s="9" t="s">
        <v>41</v>
      </c>
      <c r="B54" s="22" t="s">
        <v>80</v>
      </c>
      <c r="C54" s="117"/>
      <c r="D54" s="117"/>
    </row>
    <row r="55" spans="1:4" ht="14.25" customHeight="1">
      <c r="A55" s="9" t="s">
        <v>42</v>
      </c>
      <c r="B55" s="22" t="s">
        <v>25</v>
      </c>
      <c r="C55" s="117"/>
      <c r="D55" s="117"/>
    </row>
    <row r="56" spans="1:4" ht="14.25" customHeight="1">
      <c r="A56" s="9" t="s">
        <v>43</v>
      </c>
      <c r="B56" s="23" t="s">
        <v>25</v>
      </c>
      <c r="C56" s="117"/>
      <c r="D56" s="117"/>
    </row>
    <row r="57" spans="1:4" ht="13.5" customHeight="1">
      <c r="A57" s="9" t="s">
        <v>44</v>
      </c>
      <c r="B57" s="23" t="s">
        <v>107</v>
      </c>
      <c r="C57" s="117"/>
      <c r="D57" s="117"/>
    </row>
    <row r="58" spans="1:4" ht="13.5" customHeight="1">
      <c r="A58" s="9" t="s">
        <v>45</v>
      </c>
      <c r="B58" s="21" t="s">
        <v>104</v>
      </c>
      <c r="C58" s="117"/>
      <c r="D58" s="117"/>
    </row>
    <row r="59" spans="1:4" ht="36.75" customHeight="1">
      <c r="A59" s="10" t="s">
        <v>46</v>
      </c>
      <c r="B59" s="22" t="s">
        <v>23</v>
      </c>
      <c r="C59" s="117"/>
      <c r="D59" s="117"/>
    </row>
    <row r="60" spans="1:4">
      <c r="A60" s="128" t="s">
        <v>47</v>
      </c>
      <c r="B60" s="128"/>
      <c r="C60" s="128"/>
      <c r="D60" s="128"/>
    </row>
    <row r="61" spans="1:4" ht="15.75" customHeight="1">
      <c r="A61" s="9" t="s">
        <v>48</v>
      </c>
      <c r="B61" s="22" t="s">
        <v>84</v>
      </c>
      <c r="C61" s="129">
        <v>1.1200000000000001</v>
      </c>
      <c r="D61" s="125">
        <f>C61*B8*8</f>
        <v>15680.000000000002</v>
      </c>
    </row>
    <row r="62" spans="1:4" ht="12.75" customHeight="1">
      <c r="A62" s="9" t="s">
        <v>49</v>
      </c>
      <c r="B62" s="22" t="s">
        <v>84</v>
      </c>
      <c r="C62" s="119"/>
      <c r="D62" s="126"/>
    </row>
    <row r="63" spans="1:4" ht="15.75" customHeight="1">
      <c r="A63" s="9" t="s">
        <v>50</v>
      </c>
      <c r="B63" s="22" t="s">
        <v>84</v>
      </c>
      <c r="C63" s="119"/>
      <c r="D63" s="126"/>
    </row>
    <row r="64" spans="1:4" ht="16.5" customHeight="1">
      <c r="A64" s="9" t="s">
        <v>51</v>
      </c>
      <c r="B64" s="22" t="s">
        <v>84</v>
      </c>
      <c r="C64" s="119"/>
      <c r="D64" s="126"/>
    </row>
    <row r="65" spans="1:4" ht="39.75" customHeight="1">
      <c r="A65" s="10" t="s">
        <v>52</v>
      </c>
      <c r="B65" s="22" t="s">
        <v>23</v>
      </c>
      <c r="C65" s="119"/>
      <c r="D65" s="126"/>
    </row>
    <row r="66" spans="1:4" ht="16.5" customHeight="1">
      <c r="A66" s="10" t="s">
        <v>53</v>
      </c>
      <c r="B66" s="23" t="s">
        <v>85</v>
      </c>
      <c r="C66" s="120"/>
      <c r="D66" s="127"/>
    </row>
    <row r="67" spans="1:4" ht="16.5" customHeight="1">
      <c r="A67" s="56" t="s">
        <v>124</v>
      </c>
      <c r="B67" s="23" t="s">
        <v>125</v>
      </c>
      <c r="C67" s="98">
        <v>0.63</v>
      </c>
      <c r="D67" s="100">
        <v>8818.9599999999991</v>
      </c>
    </row>
    <row r="68" spans="1:4">
      <c r="A68" s="121" t="s">
        <v>86</v>
      </c>
      <c r="B68" s="122"/>
      <c r="C68" s="122"/>
      <c r="D68" s="123"/>
    </row>
    <row r="69" spans="1:4" ht="26.25" customHeight="1">
      <c r="A69" s="139" t="s">
        <v>97</v>
      </c>
      <c r="B69" s="141" t="s">
        <v>87</v>
      </c>
      <c r="C69" s="118">
        <v>2.41</v>
      </c>
      <c r="D69" s="117">
        <f>C69*B8*8</f>
        <v>33740</v>
      </c>
    </row>
    <row r="70" spans="1:4" ht="13.5" customHeight="1">
      <c r="A70" s="140"/>
      <c r="B70" s="141"/>
      <c r="C70" s="118"/>
      <c r="D70" s="117"/>
    </row>
    <row r="71" spans="1:4" ht="15" customHeight="1">
      <c r="A71" s="121" t="s">
        <v>56</v>
      </c>
      <c r="B71" s="122"/>
      <c r="C71" s="122"/>
      <c r="D71" s="123"/>
    </row>
    <row r="72" spans="1:4" ht="16.5" customHeight="1">
      <c r="A72" s="6" t="s">
        <v>91</v>
      </c>
      <c r="B72" s="21" t="s">
        <v>88</v>
      </c>
      <c r="C72" s="131">
        <v>2.14</v>
      </c>
      <c r="D72" s="133">
        <v>29955.8</v>
      </c>
    </row>
    <row r="73" spans="1:4">
      <c r="A73" s="6" t="s">
        <v>92</v>
      </c>
      <c r="B73" s="21" t="s">
        <v>88</v>
      </c>
      <c r="C73" s="132"/>
      <c r="D73" s="134"/>
    </row>
    <row r="74" spans="1:4" ht="15" customHeight="1">
      <c r="A74" s="6" t="s">
        <v>93</v>
      </c>
      <c r="B74" s="21" t="s">
        <v>88</v>
      </c>
      <c r="C74" s="130"/>
      <c r="D74" s="135"/>
    </row>
    <row r="75" spans="1:4" ht="38.25" customHeight="1">
      <c r="A75" s="6" t="s">
        <v>165</v>
      </c>
      <c r="B75" s="22" t="s">
        <v>23</v>
      </c>
      <c r="C75" s="101">
        <v>4.3499999999999996</v>
      </c>
      <c r="D75" s="101">
        <v>60892.28</v>
      </c>
    </row>
    <row r="76" spans="1:4">
      <c r="A76" s="39" t="s">
        <v>57</v>
      </c>
      <c r="B76" s="23"/>
      <c r="C76" s="28">
        <f>C75+C72+C69+C61+C48+C44+C37+C30+C26+C19+C14+C13+C16+C67</f>
        <v>21.619999999999997</v>
      </c>
      <c r="D76" s="28">
        <f>D75+D72+D69+D61+D48+D44+D37+D30+D26+D19+D16+D14+D13+D67</f>
        <v>302638.04000000004</v>
      </c>
    </row>
    <row r="79" spans="1:4">
      <c r="D79" s="110"/>
    </row>
    <row r="80" spans="1:4">
      <c r="D80" s="110"/>
    </row>
  </sheetData>
  <mergeCells count="31">
    <mergeCell ref="A71:D71"/>
    <mergeCell ref="C72:C74"/>
    <mergeCell ref="D72:D74"/>
    <mergeCell ref="A60:D60"/>
    <mergeCell ref="A68:D68"/>
    <mergeCell ref="A69:A70"/>
    <mergeCell ref="B69:B70"/>
    <mergeCell ref="C69:C70"/>
    <mergeCell ref="D69:D70"/>
    <mergeCell ref="C61:C66"/>
    <mergeCell ref="D61:D66"/>
    <mergeCell ref="A43:D43"/>
    <mergeCell ref="C44:C46"/>
    <mergeCell ref="D44:D46"/>
    <mergeCell ref="A47:D47"/>
    <mergeCell ref="C48:C59"/>
    <mergeCell ref="D48:D59"/>
    <mergeCell ref="C37:C42"/>
    <mergeCell ref="D37:D42"/>
    <mergeCell ref="A12:D12"/>
    <mergeCell ref="A17:D17"/>
    <mergeCell ref="C19:C24"/>
    <mergeCell ref="D19:D24"/>
    <mergeCell ref="A25:D25"/>
    <mergeCell ref="C26:C27"/>
    <mergeCell ref="D26:D27"/>
    <mergeCell ref="A28:D28"/>
    <mergeCell ref="A29:D29"/>
    <mergeCell ref="C30:C35"/>
    <mergeCell ref="D30:D35"/>
    <mergeCell ref="A36:D3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78"/>
  <sheetViews>
    <sheetView topLeftCell="A55" workbookViewId="0">
      <selection activeCell="A72" sqref="A72"/>
    </sheetView>
  </sheetViews>
  <sheetFormatPr defaultRowHeight="15"/>
  <cols>
    <col min="1" max="1" width="92.5703125" customWidth="1"/>
    <col min="2" max="2" width="13" customWidth="1"/>
    <col min="3" max="3" width="10" customWidth="1"/>
    <col min="4" max="4" width="12" customWidth="1"/>
  </cols>
  <sheetData>
    <row r="1" spans="1:4">
      <c r="A1" s="1" t="s">
        <v>0</v>
      </c>
      <c r="B1" s="2"/>
      <c r="C1" s="2"/>
      <c r="D1" s="2" t="s">
        <v>65</v>
      </c>
    </row>
    <row r="2" spans="1:4">
      <c r="A2" s="1" t="s">
        <v>99</v>
      </c>
      <c r="B2" s="2"/>
      <c r="C2" s="2"/>
      <c r="D2" s="2"/>
    </row>
    <row r="3" spans="1:4">
      <c r="A3" s="1" t="s">
        <v>75</v>
      </c>
      <c r="B3" s="2"/>
      <c r="C3" s="2"/>
      <c r="D3" s="2"/>
    </row>
    <row r="4" spans="1:4">
      <c r="A4" s="25" t="s">
        <v>59</v>
      </c>
      <c r="B4" s="43" t="s">
        <v>100</v>
      </c>
      <c r="C4" s="2"/>
      <c r="D4" s="2"/>
    </row>
    <row r="5" spans="1:4">
      <c r="A5" s="25" t="s">
        <v>60</v>
      </c>
      <c r="B5" s="43">
        <v>2</v>
      </c>
      <c r="C5" s="2"/>
      <c r="D5" s="2"/>
    </row>
    <row r="6" spans="1:4">
      <c r="A6" s="25" t="s">
        <v>61</v>
      </c>
      <c r="B6" s="43">
        <v>1</v>
      </c>
      <c r="C6" s="2"/>
      <c r="D6" s="2"/>
    </row>
    <row r="7" spans="1:4">
      <c r="A7" s="25" t="s">
        <v>62</v>
      </c>
      <c r="B7" s="43">
        <v>20</v>
      </c>
      <c r="C7" s="2"/>
      <c r="D7" s="2"/>
    </row>
    <row r="8" spans="1:4">
      <c r="A8" s="25" t="s">
        <v>73</v>
      </c>
      <c r="B8" s="43">
        <v>566.1</v>
      </c>
      <c r="C8" s="2"/>
      <c r="D8" s="2"/>
    </row>
    <row r="9" spans="1:4">
      <c r="A9" s="25" t="s">
        <v>63</v>
      </c>
      <c r="B9" s="43">
        <v>101.6</v>
      </c>
      <c r="C9" s="2"/>
      <c r="D9" s="2"/>
    </row>
    <row r="10" spans="1:4">
      <c r="A10" s="25" t="s">
        <v>74</v>
      </c>
      <c r="B10" s="43" t="s">
        <v>101</v>
      </c>
      <c r="C10" s="2"/>
      <c r="D10" s="2"/>
    </row>
    <row r="11" spans="1:4" ht="36.75">
      <c r="A11" s="34" t="s">
        <v>1</v>
      </c>
      <c r="B11" s="34" t="s">
        <v>2</v>
      </c>
      <c r="C11" s="34" t="s">
        <v>3</v>
      </c>
      <c r="D11" s="34" t="s">
        <v>4</v>
      </c>
    </row>
    <row r="12" spans="1:4">
      <c r="A12" s="121" t="s">
        <v>5</v>
      </c>
      <c r="B12" s="122"/>
      <c r="C12" s="122"/>
      <c r="D12" s="123"/>
    </row>
    <row r="13" spans="1:4" ht="88.5" customHeight="1">
      <c r="A13" s="6" t="s">
        <v>6</v>
      </c>
      <c r="B13" s="34" t="s">
        <v>7</v>
      </c>
      <c r="C13" s="32">
        <v>0.14000000000000001</v>
      </c>
      <c r="D13" s="29">
        <f>C13*B8*8</f>
        <v>634.03200000000004</v>
      </c>
    </row>
    <row r="14" spans="1:4" ht="75.75" customHeight="1">
      <c r="A14" s="6" t="s">
        <v>90</v>
      </c>
      <c r="B14" s="34" t="s">
        <v>9</v>
      </c>
      <c r="C14" s="26">
        <v>2.34</v>
      </c>
      <c r="D14" s="29">
        <f>C14*B8*8</f>
        <v>10597.392</v>
      </c>
    </row>
    <row r="15" spans="1:4">
      <c r="A15" s="124" t="s">
        <v>11</v>
      </c>
      <c r="B15" s="124"/>
      <c r="C15" s="124"/>
      <c r="D15" s="124"/>
    </row>
    <row r="16" spans="1:4" ht="13.5" customHeight="1">
      <c r="A16" s="41" t="s">
        <v>98</v>
      </c>
      <c r="B16" s="31"/>
      <c r="C16" s="31"/>
      <c r="D16" s="31"/>
    </row>
    <row r="17" spans="1:4" ht="13.5" customHeight="1">
      <c r="A17" s="6" t="s">
        <v>12</v>
      </c>
      <c r="B17" s="34" t="s">
        <v>76</v>
      </c>
      <c r="C17" s="118">
        <v>2.16</v>
      </c>
      <c r="D17" s="125">
        <f>C17*B8*8</f>
        <v>9782.2080000000005</v>
      </c>
    </row>
    <row r="18" spans="1:4" ht="12.75" customHeight="1">
      <c r="A18" s="6" t="s">
        <v>13</v>
      </c>
      <c r="B18" s="34" t="s">
        <v>76</v>
      </c>
      <c r="C18" s="118"/>
      <c r="D18" s="126"/>
    </row>
    <row r="19" spans="1:4" ht="14.25" customHeight="1">
      <c r="A19" s="6" t="s">
        <v>14</v>
      </c>
      <c r="B19" s="34" t="s">
        <v>76</v>
      </c>
      <c r="C19" s="118"/>
      <c r="D19" s="126"/>
    </row>
    <row r="20" spans="1:4" ht="13.5" customHeight="1">
      <c r="A20" s="6" t="s">
        <v>15</v>
      </c>
      <c r="B20" s="34" t="s">
        <v>77</v>
      </c>
      <c r="C20" s="118"/>
      <c r="D20" s="126"/>
    </row>
    <row r="21" spans="1:4" ht="12.75" customHeight="1">
      <c r="A21" s="41" t="s">
        <v>94</v>
      </c>
      <c r="B21" s="34"/>
      <c r="C21" s="118"/>
      <c r="D21" s="126"/>
    </row>
    <row r="22" spans="1:4" ht="30" customHeight="1">
      <c r="A22" s="6" t="s">
        <v>16</v>
      </c>
      <c r="B22" s="34" t="s">
        <v>95</v>
      </c>
      <c r="C22" s="118"/>
      <c r="D22" s="127"/>
    </row>
    <row r="23" spans="1:4" ht="12.75" customHeight="1">
      <c r="A23" s="121" t="s">
        <v>17</v>
      </c>
      <c r="B23" s="122"/>
      <c r="C23" s="122"/>
      <c r="D23" s="123"/>
    </row>
    <row r="24" spans="1:4" ht="12" customHeight="1">
      <c r="A24" s="7" t="s">
        <v>18</v>
      </c>
      <c r="B24" s="21" t="s">
        <v>79</v>
      </c>
      <c r="C24" s="118">
        <v>0.2</v>
      </c>
      <c r="D24" s="128">
        <f>C24*B8*8</f>
        <v>905.7600000000001</v>
      </c>
    </row>
    <row r="25" spans="1:4" ht="12" customHeight="1">
      <c r="A25" s="7" t="s">
        <v>19</v>
      </c>
      <c r="B25" s="21" t="s">
        <v>78</v>
      </c>
      <c r="C25" s="118"/>
      <c r="D25" s="128"/>
    </row>
    <row r="26" spans="1:4" ht="13.5" customHeight="1">
      <c r="A26" s="121" t="s">
        <v>20</v>
      </c>
      <c r="B26" s="122"/>
      <c r="C26" s="122"/>
      <c r="D26" s="123"/>
    </row>
    <row r="27" spans="1:4">
      <c r="A27" s="128" t="s">
        <v>21</v>
      </c>
      <c r="B27" s="128"/>
      <c r="C27" s="128"/>
      <c r="D27" s="128"/>
    </row>
    <row r="28" spans="1:4" ht="37.5" customHeight="1">
      <c r="A28" s="8" t="s">
        <v>22</v>
      </c>
      <c r="B28" s="22" t="s">
        <v>80</v>
      </c>
      <c r="C28" s="118">
        <v>0.61</v>
      </c>
      <c r="D28" s="117">
        <f>C28*B8*8</f>
        <v>2762.5680000000002</v>
      </c>
    </row>
    <row r="29" spans="1:4" ht="15" customHeight="1">
      <c r="A29" s="9" t="s">
        <v>24</v>
      </c>
      <c r="B29" s="23" t="s">
        <v>81</v>
      </c>
      <c r="C29" s="118"/>
      <c r="D29" s="126"/>
    </row>
    <row r="30" spans="1:4" ht="13.5" customHeight="1">
      <c r="A30" s="9" t="s">
        <v>26</v>
      </c>
      <c r="B30" s="23" t="s">
        <v>81</v>
      </c>
      <c r="C30" s="118"/>
      <c r="D30" s="126"/>
    </row>
    <row r="31" spans="1:4" ht="36" customHeight="1">
      <c r="A31" s="9" t="s">
        <v>27</v>
      </c>
      <c r="B31" s="22" t="s">
        <v>23</v>
      </c>
      <c r="C31" s="118"/>
      <c r="D31" s="126"/>
    </row>
    <row r="32" spans="1:4" ht="14.25" customHeight="1">
      <c r="A32" s="9" t="s">
        <v>28</v>
      </c>
      <c r="B32" s="22" t="s">
        <v>81</v>
      </c>
      <c r="C32" s="118"/>
      <c r="D32" s="126"/>
    </row>
    <row r="33" spans="1:4" ht="33.75" customHeight="1">
      <c r="A33" s="24" t="s">
        <v>29</v>
      </c>
      <c r="B33" s="22" t="s">
        <v>23</v>
      </c>
      <c r="C33" s="129"/>
      <c r="D33" s="127"/>
    </row>
    <row r="34" spans="1:4" ht="15.75" customHeight="1">
      <c r="A34" s="128" t="s">
        <v>66</v>
      </c>
      <c r="B34" s="128"/>
      <c r="C34" s="128"/>
      <c r="D34" s="128"/>
    </row>
    <row r="35" spans="1:4" ht="36.75" customHeight="1">
      <c r="A35" s="9" t="s">
        <v>67</v>
      </c>
      <c r="B35" s="22" t="s">
        <v>80</v>
      </c>
      <c r="C35" s="117">
        <v>1</v>
      </c>
      <c r="D35" s="118">
        <f>C35*B8*8</f>
        <v>4528.8</v>
      </c>
    </row>
    <row r="36" spans="1:4" ht="14.25" customHeight="1">
      <c r="A36" s="9" t="s">
        <v>68</v>
      </c>
      <c r="B36" s="22" t="s">
        <v>81</v>
      </c>
      <c r="C36" s="117"/>
      <c r="D36" s="119"/>
    </row>
    <row r="37" spans="1:4" ht="14.25" customHeight="1">
      <c r="A37" s="9" t="s">
        <v>69</v>
      </c>
      <c r="B37" s="22" t="s">
        <v>81</v>
      </c>
      <c r="C37" s="117"/>
      <c r="D37" s="119"/>
    </row>
    <row r="38" spans="1:4" ht="24" customHeight="1">
      <c r="A38" s="9" t="s">
        <v>70</v>
      </c>
      <c r="B38" s="22" t="s">
        <v>80</v>
      </c>
      <c r="C38" s="117"/>
      <c r="D38" s="119"/>
    </row>
    <row r="39" spans="1:4" ht="25.5" customHeight="1">
      <c r="A39" s="10" t="s">
        <v>71</v>
      </c>
      <c r="B39" s="22" t="s">
        <v>80</v>
      </c>
      <c r="C39" s="117"/>
      <c r="D39" s="119"/>
    </row>
    <row r="40" spans="1:4" ht="14.25" customHeight="1">
      <c r="A40" s="9" t="s">
        <v>72</v>
      </c>
      <c r="B40" s="22" t="s">
        <v>81</v>
      </c>
      <c r="C40" s="117"/>
      <c r="D40" s="120"/>
    </row>
    <row r="41" spans="1:4" ht="11.25" customHeight="1">
      <c r="A41" s="130" t="s">
        <v>30</v>
      </c>
      <c r="B41" s="130"/>
      <c r="C41" s="130"/>
      <c r="D41" s="130"/>
    </row>
    <row r="42" spans="1:4" ht="35.25" customHeight="1">
      <c r="A42" s="9" t="s">
        <v>31</v>
      </c>
      <c r="B42" s="22" t="s">
        <v>81</v>
      </c>
      <c r="C42" s="117">
        <v>0.7</v>
      </c>
      <c r="D42" s="118">
        <f>C42*B8*8</f>
        <v>3170.16</v>
      </c>
    </row>
    <row r="43" spans="1:4" ht="38.25" customHeight="1">
      <c r="A43" s="9" t="s">
        <v>32</v>
      </c>
      <c r="B43" s="22" t="s">
        <v>81</v>
      </c>
      <c r="C43" s="117"/>
      <c r="D43" s="118"/>
    </row>
    <row r="44" spans="1:4" ht="15" customHeight="1">
      <c r="A44" s="10" t="s">
        <v>33</v>
      </c>
      <c r="B44" s="22" t="s">
        <v>23</v>
      </c>
      <c r="C44" s="117"/>
      <c r="D44" s="118"/>
    </row>
    <row r="45" spans="1:4" ht="12.75" customHeight="1">
      <c r="A45" s="128" t="s">
        <v>34</v>
      </c>
      <c r="B45" s="128"/>
      <c r="C45" s="128"/>
      <c r="D45" s="128"/>
    </row>
    <row r="46" spans="1:4" ht="29.25" customHeight="1">
      <c r="A46" s="9" t="s">
        <v>35</v>
      </c>
      <c r="B46" s="22" t="s">
        <v>78</v>
      </c>
      <c r="C46" s="117">
        <v>3.82</v>
      </c>
      <c r="D46" s="117">
        <f>C46*B8*8</f>
        <v>17300.016</v>
      </c>
    </row>
    <row r="47" spans="1:4" ht="14.25" customHeight="1">
      <c r="A47" s="9" t="s">
        <v>36</v>
      </c>
      <c r="B47" s="22" t="s">
        <v>82</v>
      </c>
      <c r="C47" s="117"/>
      <c r="D47" s="117"/>
    </row>
    <row r="48" spans="1:4" ht="17.25" customHeight="1">
      <c r="A48" s="9" t="s">
        <v>37</v>
      </c>
      <c r="B48" s="22" t="s">
        <v>82</v>
      </c>
      <c r="C48" s="117"/>
      <c r="D48" s="117"/>
    </row>
    <row r="49" spans="1:4" ht="24.75" customHeight="1">
      <c r="A49" s="9" t="s">
        <v>38</v>
      </c>
      <c r="B49" s="22" t="s">
        <v>83</v>
      </c>
      <c r="C49" s="117"/>
      <c r="D49" s="117"/>
    </row>
    <row r="50" spans="1:4" ht="30" customHeight="1">
      <c r="A50" s="9" t="s">
        <v>39</v>
      </c>
      <c r="B50" s="22" t="s">
        <v>83</v>
      </c>
      <c r="C50" s="117"/>
      <c r="D50" s="117"/>
    </row>
    <row r="51" spans="1:4" ht="12.75" customHeight="1">
      <c r="A51" s="31" t="s">
        <v>96</v>
      </c>
      <c r="B51" s="6"/>
      <c r="C51" s="117"/>
      <c r="D51" s="117"/>
    </row>
    <row r="52" spans="1:4" ht="35.25" customHeight="1">
      <c r="A52" s="9" t="s">
        <v>41</v>
      </c>
      <c r="B52" s="22" t="s">
        <v>80</v>
      </c>
      <c r="C52" s="117"/>
      <c r="D52" s="117"/>
    </row>
    <row r="53" spans="1:4" ht="14.25" customHeight="1">
      <c r="A53" s="9" t="s">
        <v>42</v>
      </c>
      <c r="B53" s="22" t="s">
        <v>25</v>
      </c>
      <c r="C53" s="117"/>
      <c r="D53" s="117"/>
    </row>
    <row r="54" spans="1:4" ht="14.25" customHeight="1">
      <c r="A54" s="9" t="s">
        <v>43</v>
      </c>
      <c r="B54" s="23" t="s">
        <v>25</v>
      </c>
      <c r="C54" s="117"/>
      <c r="D54" s="117"/>
    </row>
    <row r="55" spans="1:4" ht="13.5" customHeight="1">
      <c r="A55" s="9" t="s">
        <v>44</v>
      </c>
      <c r="B55" s="23" t="s">
        <v>25</v>
      </c>
      <c r="C55" s="117"/>
      <c r="D55" s="117"/>
    </row>
    <row r="56" spans="1:4" ht="13.5" customHeight="1">
      <c r="A56" s="9" t="s">
        <v>45</v>
      </c>
      <c r="B56" s="45" t="s">
        <v>102</v>
      </c>
      <c r="C56" s="117"/>
      <c r="D56" s="117"/>
    </row>
    <row r="57" spans="1:4" ht="36.75" customHeight="1">
      <c r="A57" s="10" t="s">
        <v>46</v>
      </c>
      <c r="B57" s="22" t="s">
        <v>23</v>
      </c>
      <c r="C57" s="117"/>
      <c r="D57" s="117"/>
    </row>
    <row r="58" spans="1:4">
      <c r="A58" s="128" t="s">
        <v>47</v>
      </c>
      <c r="B58" s="128"/>
      <c r="C58" s="128"/>
      <c r="D58" s="128"/>
    </row>
    <row r="59" spans="1:4" ht="15.75" customHeight="1">
      <c r="A59" s="9" t="s">
        <v>48</v>
      </c>
      <c r="B59" s="22" t="s">
        <v>84</v>
      </c>
      <c r="C59" s="118">
        <v>1.75</v>
      </c>
      <c r="D59" s="117">
        <f>C59*B8*8</f>
        <v>7925.4000000000005</v>
      </c>
    </row>
    <row r="60" spans="1:4" ht="12.75" customHeight="1">
      <c r="A60" s="9" t="s">
        <v>49</v>
      </c>
      <c r="B60" s="22" t="s">
        <v>84</v>
      </c>
      <c r="C60" s="118"/>
      <c r="D60" s="117"/>
    </row>
    <row r="61" spans="1:4" ht="15.75" customHeight="1">
      <c r="A61" s="9" t="s">
        <v>50</v>
      </c>
      <c r="B61" s="22" t="s">
        <v>84</v>
      </c>
      <c r="C61" s="118"/>
      <c r="D61" s="117"/>
    </row>
    <row r="62" spans="1:4" ht="16.5" customHeight="1">
      <c r="A62" s="9" t="s">
        <v>51</v>
      </c>
      <c r="B62" s="22" t="s">
        <v>84</v>
      </c>
      <c r="C62" s="118"/>
      <c r="D62" s="117"/>
    </row>
    <row r="63" spans="1:4" ht="39.75" customHeight="1">
      <c r="A63" s="10" t="s">
        <v>52</v>
      </c>
      <c r="B63" s="22" t="s">
        <v>23</v>
      </c>
      <c r="C63" s="118"/>
      <c r="D63" s="117"/>
    </row>
    <row r="64" spans="1:4" ht="16.5" customHeight="1">
      <c r="A64" s="56" t="s">
        <v>53</v>
      </c>
      <c r="B64" s="23" t="s">
        <v>85</v>
      </c>
      <c r="C64" s="118"/>
      <c r="D64" s="117"/>
    </row>
    <row r="65" spans="1:4">
      <c r="A65" s="121" t="s">
        <v>86</v>
      </c>
      <c r="B65" s="122"/>
      <c r="C65" s="122"/>
      <c r="D65" s="123"/>
    </row>
    <row r="66" spans="1:4" ht="26.25" customHeight="1">
      <c r="A66" s="139" t="s">
        <v>97</v>
      </c>
      <c r="B66" s="141" t="s">
        <v>87</v>
      </c>
      <c r="C66" s="118">
        <v>2.41</v>
      </c>
      <c r="D66" s="117">
        <v>10914.54</v>
      </c>
    </row>
    <row r="67" spans="1:4" ht="13.5" customHeight="1">
      <c r="A67" s="140"/>
      <c r="B67" s="141"/>
      <c r="C67" s="118"/>
      <c r="D67" s="117"/>
    </row>
    <row r="68" spans="1:4" ht="15" customHeight="1">
      <c r="A68" s="121" t="s">
        <v>56</v>
      </c>
      <c r="B68" s="122"/>
      <c r="C68" s="122"/>
      <c r="D68" s="123"/>
    </row>
    <row r="69" spans="1:4" ht="16.5" customHeight="1">
      <c r="A69" s="6" t="s">
        <v>91</v>
      </c>
      <c r="B69" s="21" t="s">
        <v>88</v>
      </c>
      <c r="C69" s="131">
        <v>2.14</v>
      </c>
      <c r="D69" s="133">
        <v>9691.6</v>
      </c>
    </row>
    <row r="70" spans="1:4">
      <c r="A70" s="6" t="s">
        <v>92</v>
      </c>
      <c r="B70" s="21" t="s">
        <v>88</v>
      </c>
      <c r="C70" s="132"/>
      <c r="D70" s="134"/>
    </row>
    <row r="71" spans="1:4" ht="15" customHeight="1">
      <c r="A71" s="6" t="s">
        <v>93</v>
      </c>
      <c r="B71" s="21" t="s">
        <v>88</v>
      </c>
      <c r="C71" s="130"/>
      <c r="D71" s="135"/>
    </row>
    <row r="72" spans="1:4" ht="38.25" customHeight="1">
      <c r="A72" s="6" t="s">
        <v>165</v>
      </c>
      <c r="B72" s="22" t="s">
        <v>23</v>
      </c>
      <c r="C72" s="33">
        <v>4.3499999999999996</v>
      </c>
      <c r="D72" s="33">
        <v>19700.63</v>
      </c>
    </row>
    <row r="73" spans="1:4">
      <c r="A73" s="31" t="s">
        <v>57</v>
      </c>
      <c r="B73" s="23"/>
      <c r="C73" s="28">
        <f>C13+C14+C17+C24+C28+C35+C42+C46+C59+C66+C69+C72</f>
        <v>21.619999999999997</v>
      </c>
      <c r="D73" s="28">
        <f>D13+D14+D17+D24+D28+D35+D42+D46+D59+D66+D69+D72</f>
        <v>97913.106</v>
      </c>
    </row>
    <row r="76" spans="1:4">
      <c r="D76" s="42"/>
    </row>
    <row r="77" spans="1:4">
      <c r="D77" s="42"/>
    </row>
    <row r="78" spans="1:4">
      <c r="D78" s="42"/>
    </row>
  </sheetData>
  <mergeCells count="31">
    <mergeCell ref="C35:C40"/>
    <mergeCell ref="D35:D40"/>
    <mergeCell ref="A12:D12"/>
    <mergeCell ref="A15:D15"/>
    <mergeCell ref="C17:C22"/>
    <mergeCell ref="D17:D22"/>
    <mergeCell ref="A23:D23"/>
    <mergeCell ref="C24:C25"/>
    <mergeCell ref="D24:D25"/>
    <mergeCell ref="A26:D26"/>
    <mergeCell ref="A27:D27"/>
    <mergeCell ref="C28:C33"/>
    <mergeCell ref="D28:D33"/>
    <mergeCell ref="A34:D34"/>
    <mergeCell ref="A41:D41"/>
    <mergeCell ref="C42:C44"/>
    <mergeCell ref="D42:D44"/>
    <mergeCell ref="A45:D45"/>
    <mergeCell ref="C46:C57"/>
    <mergeCell ref="D46:D57"/>
    <mergeCell ref="A68:D68"/>
    <mergeCell ref="C69:C71"/>
    <mergeCell ref="D69:D71"/>
    <mergeCell ref="A58:D58"/>
    <mergeCell ref="A65:D65"/>
    <mergeCell ref="A66:A67"/>
    <mergeCell ref="B66:B67"/>
    <mergeCell ref="C66:C67"/>
    <mergeCell ref="D66:D67"/>
    <mergeCell ref="C59:C64"/>
    <mergeCell ref="D59:D6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56</vt:i4>
      </vt:variant>
    </vt:vector>
  </HeadingPairs>
  <TitlesOfParts>
    <vt:vector size="56" baseType="lpstr">
      <vt:lpstr>Благовещенская 106А</vt:lpstr>
      <vt:lpstr>Летний 6</vt:lpstr>
      <vt:lpstr>50комсомола 5 (3)</vt:lpstr>
      <vt:lpstr>Луценко 4</vt:lpstr>
      <vt:lpstr>зеленая 32</vt:lpstr>
      <vt:lpstr>9мая 223</vt:lpstr>
      <vt:lpstr>9мая 175А</vt:lpstr>
      <vt:lpstr>50комсомола 137</vt:lpstr>
      <vt:lpstr>50комсомола 135 (2)</vt:lpstr>
      <vt:lpstr>50комсомола 133</vt:lpstr>
      <vt:lpstr>50комсомола 131</vt:lpstr>
      <vt:lpstr>50комсомола 129(2)</vt:lpstr>
      <vt:lpstr>50комсомола 127</vt:lpstr>
      <vt:lpstr>50комсомола 125В</vt:lpstr>
      <vt:lpstr>50комсомола 125А</vt:lpstr>
      <vt:lpstr>50комсомола 121</vt:lpstr>
      <vt:lpstr>50комсомола 106</vt:lpstr>
      <vt:lpstr>Медицинский 8</vt:lpstr>
      <vt:lpstr>Транспортная 6</vt:lpstr>
      <vt:lpstr>Транспортная 42</vt:lpstr>
      <vt:lpstr>н-шоссе 172 (2)</vt:lpstr>
      <vt:lpstr>н-шоссе 170А</vt:lpstr>
      <vt:lpstr>н-шоссе 27</vt:lpstr>
      <vt:lpstr>50комсомола 57</vt:lpstr>
      <vt:lpstr>50комсомола 125)</vt:lpstr>
      <vt:lpstr>Зеленая 24А</vt:lpstr>
      <vt:lpstr>50комсомола 60-2)</vt:lpstr>
      <vt:lpstr>Озерная 2</vt:lpstr>
      <vt:lpstr>Весенний 2</vt:lpstr>
      <vt:lpstr>9мая 210а</vt:lpstr>
      <vt:lpstr>зейский 8</vt:lpstr>
      <vt:lpstr>50комсомола 125Б</vt:lpstr>
      <vt:lpstr>50комсомола 60</vt:lpstr>
      <vt:lpstr>50комсомола 123</vt:lpstr>
      <vt:lpstr>9мая 225</vt:lpstr>
      <vt:lpstr>весенний 4а)</vt:lpstr>
      <vt:lpstr>9мая 221</vt:lpstr>
      <vt:lpstr>9мая 208</vt:lpstr>
      <vt:lpstr>зейский 11</vt:lpstr>
      <vt:lpstr>зейский 9</vt:lpstr>
      <vt:lpstr>зейский 9-2 (2)</vt:lpstr>
      <vt:lpstr>зейский 9-1</vt:lpstr>
      <vt:lpstr>комсомола 123а</vt:lpstr>
      <vt:lpstr>комсомола 123д</vt:lpstr>
      <vt:lpstr>комсомола 123Г</vt:lpstr>
      <vt:lpstr>комсомола 123б</vt:lpstr>
      <vt:lpstr>комсомола 123В</vt:lpstr>
      <vt:lpstr>9мая 219</vt:lpstr>
      <vt:lpstr>9мая 217-2</vt:lpstr>
      <vt:lpstr>зейский 7</vt:lpstr>
      <vt:lpstr>Весенний 3</vt:lpstr>
      <vt:lpstr>9мая 217</vt:lpstr>
      <vt:lpstr>зеленая30 (2)</vt:lpstr>
      <vt:lpstr>зеленая26</vt:lpstr>
      <vt:lpstr>весенний 5</vt:lpstr>
      <vt:lpstr>Весенний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2016-03-30T01:23:57Z</dcterms:modified>
</cp:coreProperties>
</file>